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Regulated Tariffs\APCo Formula Rate FRR\2018 Update Filed FERC 2019\"/>
    </mc:Choice>
  </mc:AlternateContent>
  <bookViews>
    <workbookView xWindow="-15" yWindow="4965" windowWidth="15405" windowHeight="4620" tabRatio="727" activeTab="1"/>
  </bookViews>
  <sheets>
    <sheet name="INPUT" sheetId="1" r:id="rId1"/>
    <sheet name="B1-B2" sheetId="3" r:id="rId2"/>
    <sheet name="B3-B4" sheetId="4" r:id="rId3"/>
    <sheet name="B5" sheetId="14" r:id="rId4"/>
    <sheet name="B6" sheetId="13" r:id="rId5"/>
    <sheet name="B6a" sheetId="26" r:id="rId6"/>
    <sheet name="B7" sheetId="12" r:id="rId7"/>
    <sheet name="B8-B10" sheetId="11" r:id="rId8"/>
    <sheet name="B11-B14" sheetId="16" r:id="rId9"/>
    <sheet name="B15" sheetId="23" r:id="rId10"/>
    <sheet name="B16" sheetId="22" r:id="rId11"/>
    <sheet name="B17-B18" sheetId="15" r:id="rId12"/>
    <sheet name="B19" sheetId="17" r:id="rId13"/>
    <sheet name="Module1" sheetId="10" state="veryHidden" r:id="rId14"/>
    <sheet name="B20" sheetId="27" r:id="rId15"/>
  </sheets>
  <definedNames>
    <definedName name="\a">#REF!</definedName>
    <definedName name="\b">#REF!</definedName>
    <definedName name="\i">#REF!</definedName>
    <definedName name="\l">#REF!</definedName>
    <definedName name="\p">#REF!</definedName>
    <definedName name="\q">#REF!</definedName>
    <definedName name="\r">#REF!</definedName>
    <definedName name="\z">#REF!</definedName>
    <definedName name="BEIGHT">#REF!</definedName>
    <definedName name="BEIGHTEEN">#REF!</definedName>
    <definedName name="BELEVEN">#REF!</definedName>
    <definedName name="BFIFTEEN">#REF!</definedName>
    <definedName name="BFIVE">#REF!</definedName>
    <definedName name="BFOUR">#REF!</definedName>
    <definedName name="BFOURTEEN">#REF!</definedName>
    <definedName name="BG">#REF!</definedName>
    <definedName name="BL1OF2">#REF!</definedName>
    <definedName name="BL2OF2">#REF!</definedName>
    <definedName name="BNINE">#REF!</definedName>
    <definedName name="BNINETEEN">#REF!</definedName>
    <definedName name="BONE">'B1-B2'!#REF!</definedName>
    <definedName name="BSEVEN">#REF!</definedName>
    <definedName name="BSEVENTEEN">#REF!</definedName>
    <definedName name="BSIX">#REF!</definedName>
    <definedName name="BSIXTEEN">#REF!</definedName>
    <definedName name="BTEN">#REF!</definedName>
    <definedName name="BTHIRTEEN">#REF!</definedName>
    <definedName name="BTHREE">'B1-B2'!#REF!</definedName>
    <definedName name="BTWELVE">#REF!</definedName>
    <definedName name="BTWENTY">#REF!</definedName>
    <definedName name="BTWO">'B1-B2'!#REF!</definedName>
    <definedName name="Cname">INPUT!$C$3</definedName>
    <definedName name="CONE">#REF!</definedName>
    <definedName name="CTWO">#REF!</definedName>
    <definedName name="DATEVAL">#REF!</definedName>
    <definedName name="EIGHT">'B3-B4'!$AD$1:$AD$38</definedName>
    <definedName name="EIGHTEEN">'B11-B14'!$AE$1:$AI$33</definedName>
    <definedName name="ELEVEN">'B11-B14'!$A$1:$H$24</definedName>
    <definedName name="FIFTEEN">'B3-B4'!#REF!</definedName>
    <definedName name="FIVE">'B3-B4'!$L$1:$L$45</definedName>
    <definedName name="FOUR">'B3-B4'!$A$1:$E$29</definedName>
    <definedName name="FOURTEEN">'B3-B4'!#REF!</definedName>
    <definedName name="INPUT">#REF!</definedName>
    <definedName name="NINE">'B8-B10'!$G$1:$M$25</definedName>
    <definedName name="NINETEEN">'B15'!$A$1:$E$76</definedName>
    <definedName name="NUMVAL">INPUT!$C$7:$C$368</definedName>
    <definedName name="ONE">#REF!</definedName>
    <definedName name="_xlnm.Print_Area" localSheetId="8">'B11-B14'!$A$1:$I$35,'B11-B14'!$J$1:$X$45,'B11-B14'!$Y$1:$AD$30,'B11-B14'!$Y$33:$AB$54,'B11-B14'!$AE$1:$AK$50</definedName>
    <definedName name="_xlnm.Print_Area" localSheetId="10">'B16'!$A$1:$E$51</definedName>
    <definedName name="_xlnm.Print_Area" localSheetId="11">'B17-B18'!$A$1:$M$39</definedName>
    <definedName name="_xlnm.Print_Area" localSheetId="12">'B19'!$A$1:$D$37</definedName>
    <definedName name="_xlnm.Print_Area" localSheetId="1">'B1-B2'!$A$1:$E$24,'B1-B2'!$G$1:$M$22</definedName>
    <definedName name="_xlnm.Print_Area" localSheetId="2">'B3-B4'!$A$1:$D$27,'B3-B4'!$A$29:$D$56</definedName>
    <definedName name="_xlnm.Print_Area" localSheetId="3">'B5'!$A$1:$F$45</definedName>
    <definedName name="_xlnm.Print_Area" localSheetId="4">'B6'!$A$1:$H$57</definedName>
    <definedName name="_xlnm.Print_Area" localSheetId="5">B6a!$A$1:$I$74</definedName>
    <definedName name="_xlnm.Print_Area" localSheetId="6">'B7'!$A$1:$G$56</definedName>
    <definedName name="_xlnm.Print_Area" localSheetId="7">'B8-B10'!$A$1:$E$21,'B8-B10'!$G$1:$M$28,'B8-B10'!$O$1:$X$43</definedName>
    <definedName name="_xlnm.Print_Area" localSheetId="0">INPUT!$A$1:$F$382</definedName>
    <definedName name="_xlnm.Print_Titles" localSheetId="6">'B7'!$1:$2</definedName>
    <definedName name="_xlnm.Print_Titles" localSheetId="0">INPUT!$1:$6</definedName>
    <definedName name="RANGE">#REF!</definedName>
    <definedName name="RECAP">#REF!</definedName>
    <definedName name="SEVEN">'B3-B4'!$V$1:$V$52</definedName>
    <definedName name="SEVENTEEN">'B3-B4'!#REF!</definedName>
    <definedName name="SIX">'B6'!$A$1:$H$38</definedName>
    <definedName name="SIXTEEN">'B3-B4'!#REF!</definedName>
    <definedName name="TEN">'B8-B10'!$O$1:$W$41</definedName>
    <definedName name="THIRTEEN">'B11-B14'!$Y$1:$AC$22</definedName>
    <definedName name="THREE">'B1-B2'!$G$1:$L$20</definedName>
    <definedName name="TWELVE">'B11-B14'!$J$1:$N$28</definedName>
    <definedName name="TWENTY">'B16'!$A$1:$E$28</definedName>
    <definedName name="TWENTYFIVE">#REF!</definedName>
    <definedName name="TWENTYFOUR">#REF!</definedName>
    <definedName name="TWENTYONE">'B17-B18'!$A$1:$F$18</definedName>
    <definedName name="TWENTYSEVEN">#REF!</definedName>
    <definedName name="TWENTYSIX">#REF!</definedName>
    <definedName name="TWENTYTHREE">'B19'!$A$1:$D$31</definedName>
    <definedName name="TWENTYTWO">'B17-B18'!$H$1:$M$17</definedName>
    <definedName name="TWO">#REF!</definedName>
    <definedName name="UPDATE">#REF!</definedName>
  </definedNames>
  <calcPr calcId="162913" calcMode="manual"/>
</workbook>
</file>

<file path=xl/calcChain.xml><?xml version="1.0" encoding="utf-8"?>
<calcChain xmlns="http://schemas.openxmlformats.org/spreadsheetml/2006/main">
  <c r="D44" i="22" l="1"/>
  <c r="K9" i="16"/>
  <c r="R21" i="16" l="1"/>
  <c r="T21" i="16"/>
  <c r="F55" i="13" l="1"/>
  <c r="G55" i="13"/>
  <c r="AB49" i="16" l="1"/>
  <c r="AB48" i="16"/>
  <c r="D54" i="13"/>
  <c r="D49" i="13"/>
  <c r="S21" i="16" l="1"/>
  <c r="D382" i="1"/>
  <c r="D381" i="1"/>
  <c r="D380" i="1"/>
  <c r="D379" i="1"/>
  <c r="D378" i="1"/>
  <c r="D14" i="3"/>
  <c r="N28" i="16" l="1"/>
  <c r="N27" i="16"/>
  <c r="D10" i="26" l="1"/>
  <c r="D8" i="26"/>
  <c r="C235" i="27"/>
  <c r="C197" i="27"/>
  <c r="C153" i="27"/>
  <c r="C105" i="27"/>
  <c r="C55" i="27"/>
  <c r="D60" i="26" l="1"/>
  <c r="G60" i="26" s="1"/>
  <c r="G62" i="26" s="1"/>
  <c r="G64" i="26" s="1"/>
  <c r="D58" i="26"/>
  <c r="H10" i="26"/>
  <c r="H11" i="26" s="1"/>
  <c r="H13" i="26" s="1"/>
  <c r="B33" i="12"/>
  <c r="B30" i="12"/>
  <c r="C19" i="22"/>
  <c r="D19" i="22" s="1"/>
  <c r="C15" i="22"/>
  <c r="D15" i="22" s="1"/>
  <c r="C13" i="22"/>
  <c r="D13" i="22" s="1"/>
  <c r="C9" i="22"/>
  <c r="D9" i="22" s="1"/>
  <c r="H56" i="13"/>
  <c r="H51" i="13"/>
  <c r="G49" i="13"/>
  <c r="U29" i="11"/>
  <c r="V29" i="11" s="1"/>
  <c r="I20" i="11"/>
  <c r="K20" i="11" s="1"/>
  <c r="M20" i="11" s="1"/>
  <c r="I15" i="11"/>
  <c r="K15" i="11" s="1"/>
  <c r="I13" i="11"/>
  <c r="K13" i="11" s="1"/>
  <c r="S33" i="11"/>
  <c r="S31" i="11"/>
  <c r="S29" i="11"/>
  <c r="S19" i="11"/>
  <c r="S18" i="11"/>
  <c r="B23" i="12"/>
  <c r="D17" i="4"/>
  <c r="D7" i="4"/>
  <c r="D21" i="17"/>
  <c r="D17" i="17"/>
  <c r="D16" i="17"/>
  <c r="D15" i="17"/>
  <c r="D13" i="4"/>
  <c r="AI22" i="16"/>
  <c r="E12" i="11" s="1"/>
  <c r="AH22" i="16"/>
  <c r="D12" i="11" s="1"/>
  <c r="AG22" i="16"/>
  <c r="C12" i="11" s="1"/>
  <c r="AG13" i="16"/>
  <c r="AI13" i="16" s="1"/>
  <c r="AG11" i="16"/>
  <c r="AC9" i="16"/>
  <c r="N25" i="16"/>
  <c r="N24" i="16"/>
  <c r="L43" i="16" s="1"/>
  <c r="L45" i="16" s="1"/>
  <c r="M12" i="16"/>
  <c r="M11" i="16"/>
  <c r="M10" i="16"/>
  <c r="AB38" i="16"/>
  <c r="AB47" i="16"/>
  <c r="D15" i="16"/>
  <c r="D21" i="4"/>
  <c r="AG18" i="16"/>
  <c r="AH18" i="16" s="1"/>
  <c r="AG17" i="16"/>
  <c r="AH17" i="16" s="1"/>
  <c r="S27" i="11"/>
  <c r="S25" i="11"/>
  <c r="S17" i="11"/>
  <c r="S16" i="11"/>
  <c r="S14" i="11"/>
  <c r="S13" i="11"/>
  <c r="F50" i="12"/>
  <c r="C30" i="15" s="1"/>
  <c r="B29" i="12"/>
  <c r="B28" i="12"/>
  <c r="B27" i="12"/>
  <c r="B26" i="12"/>
  <c r="B25" i="12"/>
  <c r="B22" i="12"/>
  <c r="B14" i="12"/>
  <c r="D49" i="26"/>
  <c r="H49" i="26" s="1"/>
  <c r="H50" i="26" s="1"/>
  <c r="H52" i="26" s="1"/>
  <c r="D36" i="26"/>
  <c r="H36" i="26" s="1"/>
  <c r="H37" i="26" s="1"/>
  <c r="H39" i="26" s="1"/>
  <c r="D35" i="26"/>
  <c r="G35" i="26" s="1"/>
  <c r="D34" i="26"/>
  <c r="F34" i="26" s="1"/>
  <c r="F37" i="26" s="1"/>
  <c r="F39" i="26" s="1"/>
  <c r="F42" i="26" s="1"/>
  <c r="D33" i="26"/>
  <c r="D21" i="26"/>
  <c r="G21" i="26" s="1"/>
  <c r="D9" i="4"/>
  <c r="B38" i="12"/>
  <c r="C22" i="1"/>
  <c r="D12" i="13"/>
  <c r="D16" i="13" s="1"/>
  <c r="D28" i="17" s="1"/>
  <c r="F17" i="14"/>
  <c r="E17" i="14"/>
  <c r="D17" i="14"/>
  <c r="D46" i="4"/>
  <c r="I13" i="3"/>
  <c r="E24" i="14"/>
  <c r="B15" i="12"/>
  <c r="B19" i="12"/>
  <c r="D11" i="11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70" i="23" s="1"/>
  <c r="A71" i="23" s="1"/>
  <c r="A72" i="23" s="1"/>
  <c r="A73" i="23" s="1"/>
  <c r="A74" i="23" s="1"/>
  <c r="A75" i="23" s="1"/>
  <c r="A76" i="23" s="1"/>
  <c r="D61" i="26"/>
  <c r="H61" i="26" s="1"/>
  <c r="H62" i="26" s="1"/>
  <c r="H64" i="26" s="1"/>
  <c r="D59" i="26"/>
  <c r="F59" i="26" s="1"/>
  <c r="F62" i="26" s="1"/>
  <c r="F64" i="26" s="1"/>
  <c r="A2" i="26"/>
  <c r="N32" i="16"/>
  <c r="E68" i="26"/>
  <c r="D11" i="22"/>
  <c r="H12" i="13"/>
  <c r="P3" i="16"/>
  <c r="J2" i="16"/>
  <c r="D22" i="26"/>
  <c r="H22" i="26" s="1"/>
  <c r="H23" i="26" s="1"/>
  <c r="F20" i="26"/>
  <c r="F23" i="26"/>
  <c r="F25" i="26" s="1"/>
  <c r="F28" i="26" s="1"/>
  <c r="E19" i="26"/>
  <c r="E23" i="26"/>
  <c r="E25" i="26" s="1"/>
  <c r="F69" i="26"/>
  <c r="Y35" i="16"/>
  <c r="C224" i="1"/>
  <c r="C239" i="1"/>
  <c r="C269" i="1"/>
  <c r="A3" i="15"/>
  <c r="AG12" i="16"/>
  <c r="AI20" i="16"/>
  <c r="E21" i="22"/>
  <c r="C346" i="1"/>
  <c r="Y2" i="16"/>
  <c r="C179" i="1"/>
  <c r="H2" i="15"/>
  <c r="A2" i="17"/>
  <c r="A2" i="22"/>
  <c r="AE4" i="16"/>
  <c r="A2" i="16"/>
  <c r="O3" i="11"/>
  <c r="G2" i="11"/>
  <c r="A2" i="11"/>
  <c r="A2" i="12"/>
  <c r="A3" i="13"/>
  <c r="A2" i="14"/>
  <c r="G3" i="3"/>
  <c r="A30" i="4"/>
  <c r="A2" i="4"/>
  <c r="C331" i="1"/>
  <c r="C254" i="1"/>
  <c r="C209" i="1"/>
  <c r="C194" i="1"/>
  <c r="B1" i="1"/>
  <c r="C316" i="1"/>
  <c r="C362" i="1"/>
  <c r="AI29" i="16"/>
  <c r="C299" i="1"/>
  <c r="C301" i="1" s="1"/>
  <c r="C284" i="1"/>
  <c r="AI12" i="16"/>
  <c r="D15" i="15"/>
  <c r="D17" i="15"/>
  <c r="F17" i="15" s="1"/>
  <c r="D13" i="15"/>
  <c r="D11" i="15"/>
  <c r="D19" i="15"/>
  <c r="AG19" i="16"/>
  <c r="AI19" i="16"/>
  <c r="AH19" i="16"/>
  <c r="S15" i="11"/>
  <c r="N26" i="16" l="1"/>
  <c r="N30" i="16" s="1"/>
  <c r="AC13" i="16"/>
  <c r="AC15" i="16" s="1"/>
  <c r="G13" i="16" s="1"/>
  <c r="W26" i="16"/>
  <c r="I9" i="11"/>
  <c r="K9" i="11" s="1"/>
  <c r="D24" i="14" s="1"/>
  <c r="D23" i="26"/>
  <c r="C82" i="1"/>
  <c r="B16" i="12"/>
  <c r="B24" i="12"/>
  <c r="D19" i="4"/>
  <c r="D23" i="4" s="1"/>
  <c r="AG29" i="16" s="1"/>
  <c r="AH29" i="16" s="1"/>
  <c r="G50" i="13"/>
  <c r="G51" i="13" s="1"/>
  <c r="F50" i="13"/>
  <c r="F51" i="13" s="1"/>
  <c r="F12" i="13"/>
  <c r="D11" i="4"/>
  <c r="D15" i="4" s="1"/>
  <c r="C21" i="22" s="1"/>
  <c r="D21" i="22" s="1"/>
  <c r="G12" i="13"/>
  <c r="S21" i="11"/>
  <c r="D6" i="17"/>
  <c r="D13" i="17" s="1"/>
  <c r="S23" i="11"/>
  <c r="AH25" i="16"/>
  <c r="D9" i="11" s="1"/>
  <c r="D14" i="11" s="1"/>
  <c r="AG47" i="16"/>
  <c r="D42" i="22"/>
  <c r="D70" i="26"/>
  <c r="G37" i="26"/>
  <c r="G39" i="26" s="1"/>
  <c r="G41" i="26"/>
  <c r="AI11" i="16"/>
  <c r="C11" i="11"/>
  <c r="AG25" i="16"/>
  <c r="D21" i="15"/>
  <c r="B18" i="12"/>
  <c r="C69" i="1"/>
  <c r="E58" i="26"/>
  <c r="D62" i="26"/>
  <c r="F19" i="13"/>
  <c r="H19" i="13"/>
  <c r="G19" i="13"/>
  <c r="G27" i="26"/>
  <c r="G23" i="26"/>
  <c r="G25" i="26" s="1"/>
  <c r="I14" i="11"/>
  <c r="AB52" i="16"/>
  <c r="D37" i="26"/>
  <c r="E33" i="26"/>
  <c r="E37" i="26" s="1"/>
  <c r="E39" i="26" s="1"/>
  <c r="F8" i="26"/>
  <c r="F11" i="26" s="1"/>
  <c r="F13" i="26" s="1"/>
  <c r="D13" i="16" l="1"/>
  <c r="L13" i="11"/>
  <c r="M13" i="11" s="1"/>
  <c r="M9" i="11"/>
  <c r="F24" i="14" s="1"/>
  <c r="S35" i="11"/>
  <c r="K14" i="11"/>
  <c r="I18" i="11"/>
  <c r="C9" i="11"/>
  <c r="C14" i="11" s="1"/>
  <c r="F16" i="26"/>
  <c r="B20" i="12"/>
  <c r="B31" i="12" s="1"/>
  <c r="B35" i="12" s="1"/>
  <c r="B40" i="12" s="1"/>
  <c r="E11" i="11"/>
  <c r="AI25" i="16"/>
  <c r="E9" i="11" l="1"/>
  <c r="E14" i="11" s="1"/>
  <c r="AC7" i="16" l="1"/>
  <c r="D27" i="13"/>
  <c r="F25" i="13" l="1"/>
  <c r="D25" i="13" l="1"/>
  <c r="G54" i="13"/>
  <c r="G56" i="13" s="1"/>
  <c r="F56" i="13"/>
  <c r="H25" i="13"/>
  <c r="G25" i="13"/>
  <c r="D9" i="26" l="1"/>
  <c r="D46" i="26"/>
  <c r="E46" i="26" s="1"/>
  <c r="E50" i="26" s="1"/>
  <c r="E52" i="26" s="1"/>
  <c r="G9" i="26" l="1"/>
  <c r="G11" i="26" l="1"/>
  <c r="G13" i="26" s="1"/>
  <c r="G15" i="26"/>
  <c r="E62" i="26" l="1"/>
  <c r="E64" i="26" s="1"/>
  <c r="F52" i="12" l="1"/>
  <c r="C31" i="15" l="1"/>
  <c r="F53" i="12"/>
  <c r="D14" i="12" l="1"/>
  <c r="U23" i="11"/>
  <c r="U21" i="11"/>
  <c r="D31" i="15"/>
  <c r="F11" i="15" s="1"/>
  <c r="D27" i="12"/>
  <c r="D23" i="12"/>
  <c r="D15" i="12"/>
  <c r="D30" i="12"/>
  <c r="D26" i="12"/>
  <c r="D22" i="12"/>
  <c r="D25" i="12"/>
  <c r="D28" i="12"/>
  <c r="D33" i="12"/>
  <c r="D19" i="12"/>
  <c r="D18" i="12"/>
  <c r="D29" i="12"/>
  <c r="D38" i="12"/>
  <c r="H25" i="26"/>
  <c r="D29" i="14"/>
  <c r="D20" i="12" l="1"/>
  <c r="H28" i="26"/>
  <c r="H27" i="26"/>
  <c r="D24" i="12"/>
  <c r="D16" i="12"/>
  <c r="E29" i="12"/>
  <c r="D31" i="12" l="1"/>
  <c r="D32" i="12" s="1"/>
  <c r="E38" i="12"/>
  <c r="E15" i="12"/>
  <c r="E22" i="12"/>
  <c r="E25" i="12"/>
  <c r="E29" i="14"/>
  <c r="E28" i="12"/>
  <c r="E27" i="12"/>
  <c r="E33" i="12"/>
  <c r="E19" i="12"/>
  <c r="E18" i="12"/>
  <c r="C79" i="1"/>
  <c r="H41" i="26"/>
  <c r="H54" i="26"/>
  <c r="H15" i="26"/>
  <c r="E23" i="12"/>
  <c r="E14" i="12"/>
  <c r="E26" i="12"/>
  <c r="E30" i="12"/>
  <c r="E16" i="12" l="1"/>
  <c r="D35" i="12"/>
  <c r="D40" i="12" s="1"/>
  <c r="D42" i="12" s="1"/>
  <c r="E70" i="26"/>
  <c r="E20" i="12"/>
  <c r="F29" i="14"/>
  <c r="H55" i="26"/>
  <c r="H42" i="26"/>
  <c r="H16" i="26"/>
  <c r="F29" i="12"/>
  <c r="F25" i="12"/>
  <c r="F15" i="12"/>
  <c r="F38" i="12"/>
  <c r="F14" i="12"/>
  <c r="F33" i="12"/>
  <c r="F30" i="12"/>
  <c r="F22" i="12"/>
  <c r="F19" i="12"/>
  <c r="F27" i="12"/>
  <c r="F18" i="12"/>
  <c r="F28" i="12"/>
  <c r="F23" i="12"/>
  <c r="F26" i="12"/>
  <c r="E24" i="12"/>
  <c r="E31" i="12" l="1"/>
  <c r="E35" i="12" s="1"/>
  <c r="E40" i="12" s="1"/>
  <c r="F14" i="13"/>
  <c r="F16" i="13" s="1"/>
  <c r="F18" i="13" s="1"/>
  <c r="F20" i="13" s="1"/>
  <c r="F20" i="12"/>
  <c r="F24" i="12"/>
  <c r="F70" i="26"/>
  <c r="F16" i="12"/>
  <c r="U33" i="11"/>
  <c r="U25" i="11"/>
  <c r="U31" i="11"/>
  <c r="K16" i="11"/>
  <c r="K18" i="11" s="1"/>
  <c r="D25" i="14" s="1"/>
  <c r="D26" i="14" s="1"/>
  <c r="F27" i="13"/>
  <c r="F29" i="13" s="1"/>
  <c r="D11" i="14" s="1"/>
  <c r="C23" i="22"/>
  <c r="D29" i="17" l="1"/>
  <c r="D33" i="17" s="1"/>
  <c r="D22" i="17" s="1"/>
  <c r="D23" i="17" s="1"/>
  <c r="D24" i="17" s="1"/>
  <c r="K14" i="15" s="1"/>
  <c r="D10" i="14"/>
  <c r="E32" i="12"/>
  <c r="V23" i="11" s="1"/>
  <c r="F31" i="12"/>
  <c r="F32" i="12" s="1"/>
  <c r="E23" i="22" s="1"/>
  <c r="E26" i="22" s="1"/>
  <c r="F13" i="15"/>
  <c r="F15" i="15"/>
  <c r="U27" i="11"/>
  <c r="U35" i="11" s="1"/>
  <c r="D28" i="14"/>
  <c r="D30" i="14" s="1"/>
  <c r="C26" i="22"/>
  <c r="D13" i="14"/>
  <c r="E42" i="12"/>
  <c r="G14" i="13"/>
  <c r="G16" i="13" s="1"/>
  <c r="F35" i="12" l="1"/>
  <c r="F40" i="12" s="1"/>
  <c r="F42" i="12" s="1"/>
  <c r="V21" i="11"/>
  <c r="D23" i="22"/>
  <c r="D26" i="22" s="1"/>
  <c r="D40" i="4" s="1"/>
  <c r="C16" i="11"/>
  <c r="C18" i="11" s="1"/>
  <c r="C20" i="11" s="1"/>
  <c r="D32" i="14" s="1"/>
  <c r="AG27" i="16"/>
  <c r="AG31" i="16" s="1"/>
  <c r="E10" i="14"/>
  <c r="D30" i="17"/>
  <c r="D34" i="17" s="1"/>
  <c r="L14" i="15" s="1"/>
  <c r="G17" i="13"/>
  <c r="G18" i="13"/>
  <c r="G20" i="13" s="1"/>
  <c r="D45" i="22"/>
  <c r="L16" i="11"/>
  <c r="L18" i="11" s="1"/>
  <c r="E25" i="14" s="1"/>
  <c r="E26" i="14" s="1"/>
  <c r="V33" i="11"/>
  <c r="V31" i="11"/>
  <c r="G27" i="13"/>
  <c r="G29" i="13" s="1"/>
  <c r="E11" i="14" s="1"/>
  <c r="V25" i="11"/>
  <c r="W23" i="11"/>
  <c r="W21" i="11"/>
  <c r="F21" i="15"/>
  <c r="D42" i="4" s="1"/>
  <c r="H14" i="13" l="1"/>
  <c r="H16" i="13" s="1"/>
  <c r="H17" i="13" s="1"/>
  <c r="W31" i="11"/>
  <c r="H27" i="13"/>
  <c r="H29" i="13" s="1"/>
  <c r="F11" i="14" s="1"/>
  <c r="D47" i="22"/>
  <c r="D48" i="22" s="1"/>
  <c r="D49" i="22" s="1"/>
  <c r="W33" i="11"/>
  <c r="W25" i="11"/>
  <c r="M16" i="11"/>
  <c r="M18" i="11" s="1"/>
  <c r="F25" i="14" s="1"/>
  <c r="F26" i="14" s="1"/>
  <c r="E13" i="14"/>
  <c r="E28" i="14"/>
  <c r="E30" i="14" s="1"/>
  <c r="V27" i="11"/>
  <c r="V35" i="11" s="1"/>
  <c r="H18" i="13" l="1"/>
  <c r="H20" i="13" s="1"/>
  <c r="F28" i="14" s="1"/>
  <c r="F30" i="14" s="1"/>
  <c r="F10" i="14"/>
  <c r="F13" i="14" s="1"/>
  <c r="D31" i="17"/>
  <c r="D35" i="17" s="1"/>
  <c r="M14" i="15" s="1"/>
  <c r="D16" i="11"/>
  <c r="D18" i="11" s="1"/>
  <c r="D20" i="11" s="1"/>
  <c r="E32" i="14" s="1"/>
  <c r="AH27" i="16"/>
  <c r="AH31" i="16" s="1"/>
  <c r="D38" i="4" s="1"/>
  <c r="W27" i="11" l="1"/>
  <c r="W35" i="11" s="1"/>
  <c r="AI27" i="16" s="1"/>
  <c r="AI31" i="16" s="1"/>
  <c r="E16" i="11" l="1"/>
  <c r="E18" i="11" s="1"/>
  <c r="E20" i="11" s="1"/>
  <c r="F32" i="14" s="1"/>
  <c r="M13" i="16"/>
  <c r="M19" i="16" s="1"/>
  <c r="D11" i="16" s="1"/>
  <c r="D17" i="16" l="1"/>
  <c r="E11" i="16" s="1"/>
  <c r="V28" i="16" l="1"/>
  <c r="W30" i="16" s="1"/>
  <c r="W32" i="16" s="1"/>
  <c r="N33" i="16" s="1"/>
  <c r="N35" i="16" s="1"/>
  <c r="N37" i="16" s="1"/>
  <c r="G11" i="16" s="1"/>
  <c r="H11" i="16" s="1"/>
  <c r="E13" i="16"/>
  <c r="H13" i="16" s="1"/>
  <c r="E15" i="16"/>
  <c r="H15" i="16" s="1"/>
  <c r="D18" i="17" l="1"/>
  <c r="H17" i="16"/>
  <c r="E17" i="16"/>
  <c r="D19" i="17" l="1"/>
  <c r="D8" i="17" s="1"/>
  <c r="K10" i="15" s="1"/>
  <c r="E36" i="14"/>
  <c r="F36" i="14"/>
  <c r="D36" i="14"/>
  <c r="L10" i="15" l="1"/>
  <c r="M10" i="15"/>
  <c r="D47" i="26" l="1"/>
  <c r="D48" i="26"/>
  <c r="G48" i="26" s="1"/>
  <c r="F47" i="26" l="1"/>
  <c r="F50" i="26" s="1"/>
  <c r="F52" i="26" s="1"/>
  <c r="D50" i="26"/>
  <c r="G54" i="26"/>
  <c r="E69" i="26" s="1"/>
  <c r="E71" i="26" s="1"/>
  <c r="G31" i="13" s="1"/>
  <c r="E15" i="14" s="1"/>
  <c r="E19" i="14" s="1"/>
  <c r="E34" i="14" s="1"/>
  <c r="E38" i="14" s="1"/>
  <c r="G50" i="26"/>
  <c r="G52" i="26" s="1"/>
  <c r="D69" i="26" s="1"/>
  <c r="D36" i="4" l="1"/>
  <c r="L8" i="15"/>
  <c r="L12" i="15" s="1"/>
  <c r="L16" i="15" s="1"/>
  <c r="D44" i="4" s="1"/>
  <c r="D7" i="26"/>
  <c r="C27" i="1"/>
  <c r="D31" i="13" s="1"/>
  <c r="F55" i="26"/>
  <c r="F68" i="26" s="1"/>
  <c r="F71" i="26" s="1"/>
  <c r="H31" i="13" s="1"/>
  <c r="F15" i="14" s="1"/>
  <c r="F19" i="14" s="1"/>
  <c r="F34" i="14" s="1"/>
  <c r="F38" i="14" s="1"/>
  <c r="M8" i="15" s="1"/>
  <c r="M12" i="15" s="1"/>
  <c r="M16" i="15" s="1"/>
  <c r="D68" i="26"/>
  <c r="D71" i="26" s="1"/>
  <c r="F31" i="13" s="1"/>
  <c r="D15" i="14" s="1"/>
  <c r="D19" i="14" s="1"/>
  <c r="D34" i="14" s="1"/>
  <c r="D38" i="14" s="1"/>
  <c r="K8" i="15" s="1"/>
  <c r="K12" i="15" s="1"/>
  <c r="K16" i="15" s="1"/>
  <c r="D50" i="4" l="1"/>
  <c r="I12" i="3" s="1"/>
  <c r="L12" i="3" s="1"/>
  <c r="C14" i="3" s="1"/>
  <c r="E14" i="3" s="1"/>
  <c r="E7" i="26"/>
  <c r="E11" i="26" s="1"/>
  <c r="E13" i="26" s="1"/>
  <c r="D11" i="26"/>
</calcChain>
</file>

<file path=xl/sharedStrings.xml><?xml version="1.0" encoding="utf-8"?>
<sst xmlns="http://schemas.openxmlformats.org/spreadsheetml/2006/main" count="2438" uniqueCount="1174">
  <si>
    <t>Hedge (Gain) / Loss prior to Application of Recovery Limit</t>
  </si>
  <si>
    <t>L. 12 - L. 13 + L. 14</t>
  </si>
  <si>
    <t>Subject to Limit</t>
  </si>
  <si>
    <t>Limit on Hedging (Gain)/Loss on Interest Rate Derivatives of LTD</t>
  </si>
  <si>
    <t>Note A:  Year end balance.</t>
  </si>
  <si>
    <t>B17</t>
  </si>
  <si>
    <t>Losses and Imbalance Ancillary Svc. Rev.</t>
  </si>
  <si>
    <t>Station equipment operation expense (Note A)</t>
  </si>
  <si>
    <t>Station equipment maintenance expense (Note A)</t>
  </si>
  <si>
    <t>Generator Step Up Related Depreciation (Note A)</t>
  </si>
  <si>
    <t>Year Ending  -- Month</t>
  </si>
  <si>
    <t>Year Ending  -- Day</t>
  </si>
  <si>
    <t>Year Ending  -- Year</t>
  </si>
  <si>
    <t>CAPACITY</t>
  </si>
  <si>
    <t>Amount $</t>
  </si>
  <si>
    <t>(1) x (2)</t>
  </si>
  <si>
    <t>(2)</t>
  </si>
  <si>
    <t>(3)</t>
  </si>
  <si>
    <t xml:space="preserve"> 1.  Reference</t>
  </si>
  <si>
    <t>Col (1) x (2)</t>
  </si>
  <si>
    <t xml:space="preserve"> 2.  Amount</t>
  </si>
  <si>
    <t>GSU Data Input</t>
  </si>
  <si>
    <t>GSU &amp; Other Production Related Investment</t>
  </si>
  <si>
    <t>Materials &amp; Supplies - Total</t>
  </si>
  <si>
    <t>Page 2</t>
  </si>
  <si>
    <t xml:space="preserve">                      </t>
  </si>
  <si>
    <t>ANNUAL PRODUCTION FIXED COST</t>
  </si>
  <si>
    <t>Page 4</t>
  </si>
  <si>
    <t>RETURN ON PRODUCTION-RELATED INVESTMENT</t>
  </si>
  <si>
    <t>Page 5</t>
  </si>
  <si>
    <t>PRODUCTION-RELATED GENERAL PLANT ALLOCATION</t>
  </si>
  <si>
    <t>Page 7</t>
  </si>
  <si>
    <t>PRODUCTION-RELATED CASH REQUIREMENT</t>
  </si>
  <si>
    <t>Page 8</t>
  </si>
  <si>
    <t>PRODUCTION-RELATED MATERIALS &amp; SUPPLIES</t>
  </si>
  <si>
    <t>Page 9</t>
  </si>
  <si>
    <t>PRODUCTION-RELATED</t>
  </si>
  <si>
    <t>Page 10</t>
  </si>
  <si>
    <t>COMPOSITE COST OF CAPITAL</t>
  </si>
  <si>
    <t>Page 11</t>
  </si>
  <si>
    <t>Page 12</t>
  </si>
  <si>
    <t>ANNUAL FIXED COSTS</t>
  </si>
  <si>
    <t>Page 14</t>
  </si>
  <si>
    <t>CLASSIFICATION OF FIXED AND VARIABLE</t>
  </si>
  <si>
    <t>Page 15</t>
  </si>
  <si>
    <t>PRODUCTION-RELATED DEPRECIATION EXPENSE</t>
  </si>
  <si>
    <t>Page 16</t>
  </si>
  <si>
    <t>PRODUCTION  RELATED</t>
  </si>
  <si>
    <t>Page 17</t>
  </si>
  <si>
    <t xml:space="preserve">PRODUCTION-RELATED INCOME TAX </t>
  </si>
  <si>
    <t>Page 18</t>
  </si>
  <si>
    <t>COMPUTATION OF EFFECTIVE INCOME TAX RATE</t>
  </si>
  <si>
    <t>Page 19</t>
  </si>
  <si>
    <t>ADMINISTRATIVE &amp; GENERAL EXPENSE ALLOCATION</t>
  </si>
  <si>
    <t>PRODUCTION O &amp; M EXPENSE</t>
  </si>
  <si>
    <t>PRODUCTION EXPENSES</t>
  </si>
  <si>
    <t>TAXES OTHER THAN INCOME TAXES</t>
  </si>
  <si>
    <t>PRODUCTION</t>
  </si>
  <si>
    <t>SYSTEM</t>
  </si>
  <si>
    <t>EXCLUDING FUEL USED IN ELECTRIC GENERATION</t>
  </si>
  <si>
    <t>Depreciation</t>
  </si>
  <si>
    <t>System</t>
  </si>
  <si>
    <t>General Plant Accounts 101 and 106</t>
  </si>
  <si>
    <t>Demand</t>
  </si>
  <si>
    <t>Energy</t>
  </si>
  <si>
    <t>Line</t>
  </si>
  <si>
    <t>FERC Account</t>
  </si>
  <si>
    <t>Expense</t>
  </si>
  <si>
    <t xml:space="preserve">       Amount</t>
  </si>
  <si>
    <t>Production</t>
  </si>
  <si>
    <t>Total Company</t>
  </si>
  <si>
    <t>Cost of</t>
  </si>
  <si>
    <t>Debt</t>
  </si>
  <si>
    <t>Interest</t>
  </si>
  <si>
    <t>No.</t>
  </si>
  <si>
    <t>Related</t>
  </si>
  <si>
    <t>(4)</t>
  </si>
  <si>
    <t>Total</t>
  </si>
  <si>
    <t>Related to</t>
  </si>
  <si>
    <t>1.  Material &amp; Supplies (Note A)</t>
  </si>
  <si>
    <t xml:space="preserve">        (1)</t>
  </si>
  <si>
    <t>Allocation</t>
  </si>
  <si>
    <t>Capital</t>
  </si>
  <si>
    <t>Cost of Capital</t>
  </si>
  <si>
    <t>Balance</t>
  </si>
  <si>
    <t>Booked</t>
  </si>
  <si>
    <t>(Demand)</t>
  </si>
  <si>
    <t>(Energy)</t>
  </si>
  <si>
    <t>POWER PRODUCTION EXPENSES</t>
  </si>
  <si>
    <t>PRODUCTION PLANT</t>
  </si>
  <si>
    <t>ELECTRIC PLANT</t>
  </si>
  <si>
    <t>GROSS PLANT IN SERVICE (Note A)</t>
  </si>
  <si>
    <t>Factor %</t>
  </si>
  <si>
    <t>(2 x 3)</t>
  </si>
  <si>
    <t>Account No.</t>
  </si>
  <si>
    <t>Company</t>
  </si>
  <si>
    <t>Fixed</t>
  </si>
  <si>
    <t>Variable</t>
  </si>
  <si>
    <t>Steam Power Generation</t>
  </si>
  <si>
    <t>(Note A)</t>
  </si>
  <si>
    <t>Factor</t>
  </si>
  <si>
    <t>(5)</t>
  </si>
  <si>
    <t>Operation supervision and engineering</t>
  </si>
  <si>
    <t>500</t>
  </si>
  <si>
    <t>-</t>
  </si>
  <si>
    <t>xx</t>
  </si>
  <si>
    <t>Steam</t>
  </si>
  <si>
    <t>Operation &amp; Maintenance Expense</t>
  </si>
  <si>
    <t>Gross Plant in Service</t>
  </si>
  <si>
    <t>1.  GENERAL PLANT</t>
  </si>
  <si>
    <t>ADMINISTRATIVE &amp; GENERAL EXPENSE</t>
  </si>
  <si>
    <t>Fuel</t>
  </si>
  <si>
    <t>Less:  Accumulated Depreciation</t>
  </si>
  <si>
    <t>3.  Non-Fuel</t>
  </si>
  <si>
    <t>Long Term Debt</t>
  </si>
  <si>
    <t>1.  Coal Handling</t>
  </si>
  <si>
    <t>501.xx</t>
  </si>
  <si>
    <t>Steam expenses</t>
  </si>
  <si>
    <t>502</t>
  </si>
  <si>
    <t>Nuclear</t>
  </si>
  <si>
    <t>Depreciation Expense</t>
  </si>
  <si>
    <t>Less:  Accumulated Deferred Taxes</t>
  </si>
  <si>
    <t>Allocated General Plant</t>
  </si>
  <si>
    <t>RELATED TO WAGES AND SALARIES</t>
  </si>
  <si>
    <t>2.  Lignite Handling</t>
  </si>
  <si>
    <t>Steam from other sources</t>
  </si>
  <si>
    <t>503</t>
  </si>
  <si>
    <t>4.    Production</t>
  </si>
  <si>
    <t>100% Col. 1</t>
  </si>
  <si>
    <t xml:space="preserve">  A&amp;G Salaries</t>
  </si>
  <si>
    <t>920</t>
  </si>
  <si>
    <t>3.  Sale of Fly Ash (Revenue &amp; Expense)</t>
  </si>
  <si>
    <t>Steam transferred-Cr.</t>
  </si>
  <si>
    <t>504</t>
  </si>
  <si>
    <t>Taxes Other Than Income Taxes</t>
  </si>
  <si>
    <t>Net Plant in Service</t>
  </si>
  <si>
    <t>5.    Transmission</t>
  </si>
  <si>
    <t xml:space="preserve">  Outside Services</t>
  </si>
  <si>
    <t>923</t>
  </si>
  <si>
    <t>4.  Rents</t>
  </si>
  <si>
    <t xml:space="preserve">507   </t>
  </si>
  <si>
    <t>Electric expenses</t>
  </si>
  <si>
    <t>505</t>
  </si>
  <si>
    <t>L.2 + L.3</t>
  </si>
  <si>
    <t>6.    Distribution</t>
  </si>
  <si>
    <t xml:space="preserve">  Employee Pensions &amp; Benefits</t>
  </si>
  <si>
    <t>926</t>
  </si>
  <si>
    <t>Common Stock</t>
  </si>
  <si>
    <t>Average Cost Rate</t>
  </si>
  <si>
    <t>5.  Hydro O &amp; M Expenses</t>
  </si>
  <si>
    <t xml:space="preserve"> 535-545</t>
  </si>
  <si>
    <t>Miscellaneous steam power expenses</t>
  </si>
  <si>
    <t>506</t>
  </si>
  <si>
    <t>Income Tax</t>
  </si>
  <si>
    <t>Plant Held for Future Use (Note A)</t>
  </si>
  <si>
    <t>7.    General</t>
  </si>
  <si>
    <t xml:space="preserve">  Office Supplies</t>
  </si>
  <si>
    <t>921</t>
  </si>
  <si>
    <t>6.  Other Production Expenses</t>
  </si>
  <si>
    <t xml:space="preserve">557   </t>
  </si>
  <si>
    <t xml:space="preserve">  Injuries &amp; Damages</t>
  </si>
  <si>
    <t>925</t>
  </si>
  <si>
    <t>7.  System Control of Load Dispatching</t>
  </si>
  <si>
    <t>Maintenance supervision and engineering</t>
  </si>
  <si>
    <t>510</t>
  </si>
  <si>
    <t>8.    Total</t>
  </si>
  <si>
    <t xml:space="preserve">  Franchise Requirements</t>
  </si>
  <si>
    <t>927</t>
  </si>
  <si>
    <t>8.  Other Steam Expenses</t>
  </si>
  <si>
    <t>Maintenance of structures</t>
  </si>
  <si>
    <t>511</t>
  </si>
  <si>
    <t xml:space="preserve">  Duplicate Charges - Cr.</t>
  </si>
  <si>
    <t>929</t>
  </si>
  <si>
    <t>9.  Combustion Turbine</t>
  </si>
  <si>
    <t>Maintenance of boiler plant</t>
  </si>
  <si>
    <t>512</t>
  </si>
  <si>
    <t>10.  Nuclear Power Expense-Other</t>
  </si>
  <si>
    <t>Maintenance of electric plant</t>
  </si>
  <si>
    <t>513</t>
  </si>
  <si>
    <t>TOTAL TAXES OTHER THAN INCOME TAXES</t>
  </si>
  <si>
    <t>ACCUMULATED PROVISION FOR DEPRECIATION</t>
  </si>
  <si>
    <t xml:space="preserve">  Total</t>
  </si>
  <si>
    <t>Ls. 3 thru 9</t>
  </si>
  <si>
    <t>11.  Purchased Power</t>
  </si>
  <si>
    <t xml:space="preserve">555   </t>
  </si>
  <si>
    <t>Maintenance of miscellaneous steam plant</t>
  </si>
  <si>
    <t>514</t>
  </si>
  <si>
    <t>Subtotal - Electric Plant</t>
  </si>
  <si>
    <t xml:space="preserve">        (Note A)</t>
  </si>
  <si>
    <t xml:space="preserve">    Total steam power generation expenses</t>
  </si>
  <si>
    <t>Annual Production Fixed Cost</t>
  </si>
  <si>
    <t>MISCELLANEOUS GENERAL EXPENSES</t>
  </si>
  <si>
    <t>930</t>
  </si>
  <si>
    <t>12.  Total Production Expense Excluding</t>
  </si>
  <si>
    <t>Hydraulic Power Generation</t>
  </si>
  <si>
    <t>WORKING CAPITAL</t>
  </si>
  <si>
    <t>14.  Transportation Equipment</t>
  </si>
  <si>
    <t>535</t>
  </si>
  <si>
    <t>15.  Stores Equipment</t>
  </si>
  <si>
    <t>ADM. EXPENSE TRANSFER - CR.</t>
  </si>
  <si>
    <t>922</t>
  </si>
  <si>
    <t>Water for power</t>
  </si>
  <si>
    <t>536</t>
  </si>
  <si>
    <t>16.  Tools, Shop &amp; Garage Equipment</t>
  </si>
  <si>
    <t/>
  </si>
  <si>
    <t>Hydraulic expenses</t>
  </si>
  <si>
    <t>537</t>
  </si>
  <si>
    <t xml:space="preserve">  Fuel</t>
  </si>
  <si>
    <t>17.  Lab Equipment</t>
  </si>
  <si>
    <t>PROPERTY INSURANCE</t>
  </si>
  <si>
    <t>924</t>
  </si>
  <si>
    <t>Note E</t>
  </si>
  <si>
    <t>538</t>
  </si>
  <si>
    <t xml:space="preserve">  Nonfuel</t>
  </si>
  <si>
    <t>L.9 + L.10</t>
  </si>
  <si>
    <t>Misc. hydraulic power generation expenses</t>
  </si>
  <si>
    <t>539</t>
  </si>
  <si>
    <t xml:space="preserve">    Amount</t>
  </si>
  <si>
    <t xml:space="preserve">            %</t>
  </si>
  <si>
    <t xml:space="preserve">  Total M &amp; S</t>
  </si>
  <si>
    <t>REGULATORY COMM. EXPENSES</t>
  </si>
  <si>
    <t>928</t>
  </si>
  <si>
    <t>540</t>
  </si>
  <si>
    <t>(1)  Total W &amp; S (excl. A &amp; G)</t>
  </si>
  <si>
    <t>Effective Income Tax Rate</t>
  </si>
  <si>
    <t>ACCUMULATED DEFERRED TAXES (Note A)</t>
  </si>
  <si>
    <t>541</t>
  </si>
  <si>
    <t>Total Wages &amp; Salaries (Excluding A &amp; G and SF&amp;H )</t>
  </si>
  <si>
    <t>Net KWH Generated</t>
  </si>
  <si>
    <t>(2)  Production W &amp; S</t>
  </si>
  <si>
    <t>21.  PERCENT</t>
  </si>
  <si>
    <t>RENTS</t>
  </si>
  <si>
    <t>931</t>
  </si>
  <si>
    <t>542</t>
  </si>
  <si>
    <t>Production Billing kW</t>
  </si>
  <si>
    <t>22.  Other Tangible Property</t>
  </si>
  <si>
    <t>Maintenance of reservoirs, dams and waterways</t>
  </si>
  <si>
    <t>543</t>
  </si>
  <si>
    <t>MAINTENANCE OF GENERAL PLANT</t>
  </si>
  <si>
    <t>935</t>
  </si>
  <si>
    <t>544</t>
  </si>
  <si>
    <t>Maintenance of miscellaneous hydraulic plant</t>
  </si>
  <si>
    <t>545</t>
  </si>
  <si>
    <t>TOTAL A &amp; G EXPENSE</t>
  </si>
  <si>
    <t xml:space="preserve">    Total hydraulic power generation expenses</t>
  </si>
  <si>
    <t>Other Power Generation</t>
  </si>
  <si>
    <t>546</t>
  </si>
  <si>
    <t>Generation expenses</t>
  </si>
  <si>
    <t>548</t>
  </si>
  <si>
    <t>Miscellaneous other power generation expenses</t>
  </si>
  <si>
    <t>549</t>
  </si>
  <si>
    <t>Note E:</t>
  </si>
  <si>
    <t>550</t>
  </si>
  <si>
    <t>551</t>
  </si>
  <si>
    <t>552</t>
  </si>
  <si>
    <t>expenses excluding administrative and general expenses:</t>
  </si>
  <si>
    <t>Maintenance of generation and electric plant</t>
  </si>
  <si>
    <t>553</t>
  </si>
  <si>
    <t>a.  Total wages and salaries in electric operation and maintenance expenses excluding</t>
  </si>
  <si>
    <t>Maintenance of misc. other power generation plant</t>
  </si>
  <si>
    <t>554</t>
  </si>
  <si>
    <t xml:space="preserve">    Total other power generation expenses</t>
  </si>
  <si>
    <t>b.  Production wages and salaries in electric operation and maintenance expense,</t>
  </si>
  <si>
    <t>Other Power Supply Expenses</t>
  </si>
  <si>
    <t>Purchased power</t>
  </si>
  <si>
    <t>System control and load dispatching</t>
  </si>
  <si>
    <t>556</t>
  </si>
  <si>
    <t>Other expenses</t>
  </si>
  <si>
    <t>557</t>
  </si>
  <si>
    <t>5.</t>
  </si>
  <si>
    <t>6.</t>
  </si>
  <si>
    <t>7.</t>
  </si>
  <si>
    <t xml:space="preserve"> </t>
  </si>
  <si>
    <t>Plant in Service (Note D)</t>
  </si>
  <si>
    <t>1.</t>
  </si>
  <si>
    <t>2.</t>
  </si>
  <si>
    <t>3.</t>
  </si>
  <si>
    <t>Percent (GSU to Total Trans. Investment)</t>
  </si>
  <si>
    <t>4.</t>
  </si>
  <si>
    <t>GSU Related Depreciation Expense</t>
  </si>
  <si>
    <t>Transmission Substation Acct. 353 Investment</t>
  </si>
  <si>
    <t>Percent (GSU to Acct. 353)</t>
  </si>
  <si>
    <t>8.</t>
  </si>
  <si>
    <t>Transmission O&amp;M (Accts 562 &amp; 570)</t>
  </si>
  <si>
    <t>9.</t>
  </si>
  <si>
    <t>15.  Total O &amp; M</t>
  </si>
  <si>
    <t>Schedule</t>
  </si>
  <si>
    <t>Description</t>
  </si>
  <si>
    <t>Amount</t>
  </si>
  <si>
    <t>Off System Sales for Resale</t>
  </si>
  <si>
    <t xml:space="preserve">  (Demand Portion)</t>
  </si>
  <si>
    <t>Plant Held for Future Use - TOTAL</t>
  </si>
  <si>
    <t>Plant Held for Future Use - DEMAND</t>
  </si>
  <si>
    <t>Plant Held for Future Use - ENERGY</t>
  </si>
  <si>
    <t>Pollution Control CWIP</t>
  </si>
  <si>
    <t>Plant in Service - TOTAL COMPANY</t>
  </si>
  <si>
    <t>Production Plant - TOTAL COMPANY</t>
  </si>
  <si>
    <t xml:space="preserve">Production Plant - DEMAND </t>
  </si>
  <si>
    <t>Production Plant - ENERGY</t>
  </si>
  <si>
    <t>Accum. Depreciation - TOTAL CO.</t>
  </si>
  <si>
    <t>Accum. Depreciation - PRODUCTION ONLY</t>
  </si>
  <si>
    <t>Accum. Deferred Income Taxes - TOTAL CO.</t>
  </si>
  <si>
    <t>General Plant</t>
  </si>
  <si>
    <t>Stores Equipment</t>
  </si>
  <si>
    <t>Tools, Shop &amp; Garage Equipment</t>
  </si>
  <si>
    <t>Lab Equipment</t>
  </si>
  <si>
    <t>Communication Equipment</t>
  </si>
  <si>
    <t>TOTAL GENERAL PLANT</t>
  </si>
  <si>
    <t>Production Wages &amp; Salaries</t>
  </si>
  <si>
    <t xml:space="preserve">   Demand</t>
  </si>
  <si>
    <t xml:space="preserve">   Energy</t>
  </si>
  <si>
    <t>Materials &amp; Supplies</t>
  </si>
  <si>
    <t xml:space="preserve">  Production</t>
  </si>
  <si>
    <t xml:space="preserve">  Transmission</t>
  </si>
  <si>
    <t xml:space="preserve">  Distribution</t>
  </si>
  <si>
    <t>ADMINISTRATIVE &amp; GENERAL EXPENSES</t>
  </si>
  <si>
    <t>A &amp; G Salaries                  # 920</t>
  </si>
  <si>
    <t>Outside Services                # 923</t>
  </si>
  <si>
    <t>Employee Pensions &amp; Benefits    # 926</t>
  </si>
  <si>
    <t>Office Supplies                 # 921</t>
  </si>
  <si>
    <t>Injuries &amp; Damages              # 925</t>
  </si>
  <si>
    <t>Franchise Requirements          # 927</t>
  </si>
  <si>
    <t>Fuel Expense - Fuel Handling</t>
  </si>
  <si>
    <t>Duplicate Charges               # 929</t>
  </si>
  <si>
    <t>Adm. Expense Transfer - Cr.     # 922</t>
  </si>
  <si>
    <t>Property Insurance              # 924</t>
  </si>
  <si>
    <t>Regulatory Comm. Expense        # 928</t>
  </si>
  <si>
    <t xml:space="preserve">   Reg. Comm. Expense Production Related</t>
  </si>
  <si>
    <t>Rents                           # 931</t>
  </si>
  <si>
    <t>Maintenance of General Plant    # 935</t>
  </si>
  <si>
    <t xml:space="preserve">Common Stock </t>
  </si>
  <si>
    <t>Interest on Long Term Debt</t>
  </si>
  <si>
    <t>Amort. Premium on Debt</t>
  </si>
  <si>
    <t>Preferred Stock</t>
  </si>
  <si>
    <t>Preferred Stock Dividends</t>
  </si>
  <si>
    <t>Premium on Preferred Stock</t>
  </si>
  <si>
    <t xml:space="preserve">Coal Handling </t>
  </si>
  <si>
    <t>Lignite Handling</t>
  </si>
  <si>
    <t>Fly Ash Rev/Exp</t>
  </si>
  <si>
    <t>Other Production Expenses           #557</t>
  </si>
  <si>
    <t>System Control/Load Dispatching     #556</t>
  </si>
  <si>
    <t xml:space="preserve">   Total</t>
  </si>
  <si>
    <t>Purchased Power (Total)           #  555</t>
  </si>
  <si>
    <t>Purchased Power (Demand)          #  555</t>
  </si>
  <si>
    <t>Purchased Power (Energy)          #  555</t>
  </si>
  <si>
    <t>Billing KWH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</si>
  <si>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</si>
  <si>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</si>
  <si>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</si>
  <si>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</si>
  <si>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</si>
  <si>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</si>
  <si>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</si>
  <si>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</si>
  <si>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Fuel Expense -Coal</t>
  </si>
  <si>
    <t>Fuel Expense-Fly Ash (Revenue) &amp; Expense</t>
  </si>
  <si>
    <t>Fuel Expense - Lignite</t>
  </si>
  <si>
    <t>Fuel Expense - Lignite Handling</t>
  </si>
  <si>
    <t>Fuel Expense - Oil</t>
  </si>
  <si>
    <t>Fuel Expense - Gas</t>
  </si>
  <si>
    <t>TOTAL FUEL EXPENSE</t>
  </si>
  <si>
    <t>Purchased Power - Energy</t>
  </si>
  <si>
    <t>Other Steam Expense - Energy</t>
  </si>
  <si>
    <t>Plant in Service - TRANSMISSION</t>
  </si>
  <si>
    <t>Transmission Depreciation Expense</t>
  </si>
  <si>
    <t>$</t>
  </si>
  <si>
    <t>%</t>
  </si>
  <si>
    <t>Return on Common</t>
  </si>
  <si>
    <t>RATE</t>
  </si>
  <si>
    <t>REFERENCE</t>
  </si>
  <si>
    <t>AMOUNT</t>
  </si>
  <si>
    <t>Account</t>
  </si>
  <si>
    <t>Reference</t>
  </si>
  <si>
    <t xml:space="preserve"> 1.</t>
  </si>
  <si>
    <t>(1)</t>
  </si>
  <si>
    <t>501</t>
  </si>
  <si>
    <t>Note A</t>
  </si>
  <si>
    <t xml:space="preserve"> 2.</t>
  </si>
  <si>
    <t>=</t>
  </si>
  <si>
    <t xml:space="preserve"> 3.</t>
  </si>
  <si>
    <t xml:space="preserve"> 4.</t>
  </si>
  <si>
    <t xml:space="preserve"> 5.</t>
  </si>
  <si>
    <t xml:space="preserve"> 6.</t>
  </si>
  <si>
    <t>Note B</t>
  </si>
  <si>
    <t xml:space="preserve"> 7.</t>
  </si>
  <si>
    <t>Note C</t>
  </si>
  <si>
    <t xml:space="preserve"> 8.</t>
  </si>
  <si>
    <t>Rents</t>
  </si>
  <si>
    <t>507</t>
  </si>
  <si>
    <t xml:space="preserve"> 9.</t>
  </si>
  <si>
    <t>547</t>
  </si>
  <si>
    <t>10.</t>
  </si>
  <si>
    <t>Note D</t>
  </si>
  <si>
    <t>11.</t>
  </si>
  <si>
    <t>12.</t>
  </si>
  <si>
    <t>13.</t>
  </si>
  <si>
    <t>Energy Related</t>
  </si>
  <si>
    <t>555</t>
  </si>
  <si>
    <t>Note A:</t>
  </si>
  <si>
    <t>14.</t>
  </si>
  <si>
    <t>Note B:</t>
  </si>
  <si>
    <t>15.</t>
  </si>
  <si>
    <t>Note C:</t>
  </si>
  <si>
    <t>16.</t>
  </si>
  <si>
    <t>Note D:</t>
  </si>
  <si>
    <t>17.</t>
  </si>
  <si>
    <t>18.</t>
  </si>
  <si>
    <t>19.</t>
  </si>
  <si>
    <t>20.</t>
  </si>
  <si>
    <t>21.</t>
  </si>
  <si>
    <t>Page 1</t>
  </si>
  <si>
    <t>DETERMINATION OF RATES APPLICABLE TO</t>
  </si>
  <si>
    <t>Page 3</t>
  </si>
  <si>
    <t>Production System Peak Demand</t>
  </si>
  <si>
    <t>September</t>
  </si>
  <si>
    <t>October</t>
  </si>
  <si>
    <t>November</t>
  </si>
  <si>
    <t>December</t>
  </si>
  <si>
    <t xml:space="preserve">   Advertising Expense          </t>
  </si>
  <si>
    <t xml:space="preserve">   Dues &amp; Memberships       </t>
  </si>
  <si>
    <t xml:space="preserve">Miscellaneous General Expense   # 930 </t>
  </si>
  <si>
    <t>GSU Accumulated Depreciation</t>
  </si>
  <si>
    <t xml:space="preserve">Total Transmission Investment </t>
  </si>
  <si>
    <t>Ancillary Service Revenue</t>
  </si>
  <si>
    <t>Non-Pollution Control CWIP (50%)</t>
  </si>
  <si>
    <t>Cash Working Capital</t>
  </si>
  <si>
    <t>Total Rate Base</t>
  </si>
  <si>
    <t>Weighted Cost of Capital</t>
  </si>
  <si>
    <t>Return on Rate Base</t>
  </si>
  <si>
    <t>Weighted</t>
  </si>
  <si>
    <t>Cost</t>
  </si>
  <si>
    <t>Ratios</t>
  </si>
  <si>
    <t>Note F</t>
  </si>
  <si>
    <t>WP-1</t>
  </si>
  <si>
    <t>Sheet / Tab</t>
  </si>
  <si>
    <t>Cell</t>
  </si>
  <si>
    <t>WP-2</t>
  </si>
  <si>
    <t>WP-3</t>
  </si>
  <si>
    <t>C18</t>
  </si>
  <si>
    <t>WP-5b</t>
  </si>
  <si>
    <t>WP-5a</t>
  </si>
  <si>
    <t>WP-6a</t>
  </si>
  <si>
    <t>WP-6c</t>
  </si>
  <si>
    <t>na</t>
  </si>
  <si>
    <t>WP-8c</t>
  </si>
  <si>
    <t>WP-8b</t>
  </si>
  <si>
    <t>WP-9a</t>
  </si>
  <si>
    <t>WP-9b</t>
  </si>
  <si>
    <t>WP-10a</t>
  </si>
  <si>
    <t>WP-14</t>
  </si>
  <si>
    <t>WP-15c</t>
  </si>
  <si>
    <t>C9</t>
  </si>
  <si>
    <t>C11</t>
  </si>
  <si>
    <t>WP-15a</t>
  </si>
  <si>
    <t>WP-15d</t>
  </si>
  <si>
    <t>REFERENCING File Name:</t>
  </si>
  <si>
    <t>B-23</t>
  </si>
  <si>
    <t>B-22</t>
  </si>
  <si>
    <t>B-21</t>
  </si>
  <si>
    <t>B-1</t>
  </si>
  <si>
    <t>B-2</t>
  </si>
  <si>
    <t>B-3</t>
  </si>
  <si>
    <t>B-4</t>
  </si>
  <si>
    <t>B-5</t>
  </si>
  <si>
    <t>B-6</t>
  </si>
  <si>
    <t>Page 6</t>
  </si>
  <si>
    <t>B-7</t>
  </si>
  <si>
    <t>B-9</t>
  </si>
  <si>
    <t>B-10</t>
  </si>
  <si>
    <t>B-11</t>
  </si>
  <si>
    <t>B-12</t>
  </si>
  <si>
    <t>B-13</t>
  </si>
  <si>
    <t>B-14</t>
  </si>
  <si>
    <t>B-16</t>
  </si>
  <si>
    <t>B-17</t>
  </si>
  <si>
    <t>B-19</t>
  </si>
  <si>
    <t>Off-System Sales Margins - Energy</t>
  </si>
  <si>
    <t>WP-15b</t>
  </si>
  <si>
    <t>Off-System Sales - Energy</t>
  </si>
  <si>
    <t>See Note D, Page 6</t>
  </si>
  <si>
    <t>WP-16</t>
  </si>
  <si>
    <t>WP-4b</t>
  </si>
  <si>
    <t>WP-17</t>
  </si>
  <si>
    <t>WP-18</t>
  </si>
  <si>
    <t>14.  Generator Step Up related O&amp;M</t>
  </si>
  <si>
    <t>Note A:  Restricted to expenses related to Generator Step-up Transformers and Other Generator related expenses.</t>
  </si>
  <si>
    <t>C24</t>
  </si>
  <si>
    <t>WP-6b</t>
  </si>
  <si>
    <t>C22</t>
  </si>
  <si>
    <t>C35</t>
  </si>
  <si>
    <t>WP-12a</t>
  </si>
  <si>
    <t>WP-12b</t>
  </si>
  <si>
    <t>WP-6d</t>
  </si>
  <si>
    <t>L.2 - L.3</t>
  </si>
  <si>
    <t>Excludes general advertising and company dues and memberships.</t>
  </si>
  <si>
    <t>1.  Total Production Expense Excluding</t>
  </si>
  <si>
    <t xml:space="preserve">        Fuel Used In Electric Generation</t>
  </si>
  <si>
    <t>3.  Less Purchased Power</t>
  </si>
  <si>
    <t>4. Other Production O&amp;M</t>
  </si>
  <si>
    <t>5.  Allocated A&amp;G</t>
  </si>
  <si>
    <t>6. Total O&amp;M for Cash Working Capital Calculation</t>
  </si>
  <si>
    <t>7. O&amp;M Cash Requirements</t>
  </si>
  <si>
    <t>EIT=(T/(1-T)) * (1-(WCLTD/WACC)) =</t>
  </si>
  <si>
    <t>GRCF=1 / (1 - T)</t>
  </si>
  <si>
    <t>Federal Income Tax Rate</t>
  </si>
  <si>
    <t>FIT</t>
  </si>
  <si>
    <t>State Income Tax Rate (Composite)</t>
  </si>
  <si>
    <t>SIT</t>
  </si>
  <si>
    <t>Weighted Cost of Long Term Debt</t>
  </si>
  <si>
    <t>WCLTD</t>
  </si>
  <si>
    <t>Weighted Average Cost of Capital</t>
  </si>
  <si>
    <t>WACC</t>
  </si>
  <si>
    <t>Amortized Investment Tax Credit (enter negative)</t>
  </si>
  <si>
    <t>Production Plant Related ITC Amortization</t>
  </si>
  <si>
    <t>ITC Adjustment</t>
  </si>
  <si>
    <t>Gross Plant</t>
  </si>
  <si>
    <t>Production Plant Gross</t>
  </si>
  <si>
    <t>Income Tax Calculated</t>
  </si>
  <si>
    <t>L.3 + L.4</t>
  </si>
  <si>
    <t>L.4 + L.5</t>
  </si>
  <si>
    <t>Int. Comb.</t>
  </si>
  <si>
    <t>Other</t>
  </si>
  <si>
    <t>Note A &amp; B</t>
  </si>
  <si>
    <t>L.1 / L.2</t>
  </si>
  <si>
    <t>L.3 x L.4</t>
  </si>
  <si>
    <t>L.1 / L.6</t>
  </si>
  <si>
    <t>L.7 x L.8</t>
  </si>
  <si>
    <t>B-20 &amp; BL_2-3</t>
  </si>
  <si>
    <t>C20</t>
  </si>
  <si>
    <t xml:space="preserve">Accum. Depreciation - GENERAL &amp; INTANGIBLE </t>
  </si>
  <si>
    <t>Intangible Plant</t>
  </si>
  <si>
    <t>B-6a</t>
  </si>
  <si>
    <t>Page 6a</t>
  </si>
  <si>
    <t>Allocated General &amp; Intangible Plant</t>
  </si>
  <si>
    <t>FF1, P.207, L.58, Col.g</t>
  </si>
  <si>
    <t>FF1,P.321, L. 93, Col.b,</t>
  </si>
  <si>
    <t>and L.107, Col.b</t>
  </si>
  <si>
    <t>P.14, L.15, Col.(2)</t>
  </si>
  <si>
    <t>P.18, L.5, Col.(2)</t>
  </si>
  <si>
    <t>P.11, L.4, Col.(4)</t>
  </si>
  <si>
    <t>Col.(1), L.4</t>
  </si>
  <si>
    <t>Col.(2), L.4</t>
  </si>
  <si>
    <t>c.  Ratio (b / a)</t>
  </si>
  <si>
    <t>=45 / 360 x L.6</t>
  </si>
  <si>
    <t>L.4 + L.5 + L.6 + L.7</t>
  </si>
  <si>
    <t>% from Note B, P.7</t>
  </si>
  <si>
    <t>L.10 thru 16</t>
  </si>
  <si>
    <t>Sum (L.1 thru L.3)</t>
  </si>
  <si>
    <t>4.  General Offices</t>
  </si>
  <si>
    <t>5.  Total Land</t>
  </si>
  <si>
    <t>8.  General Offices</t>
  </si>
  <si>
    <t>9.  Total Structures</t>
  </si>
  <si>
    <t>12.  General Offices</t>
  </si>
  <si>
    <t>13.  Total Office Equipment</t>
  </si>
  <si>
    <t>amortization adjustments) times ratio of Production Related General</t>
  </si>
  <si>
    <t>P.19,  L.2</t>
  </si>
  <si>
    <t>L.1 x L.2</t>
  </si>
  <si>
    <t>P.19, L.13</t>
  </si>
  <si>
    <t>FF1, P.114, L.19, Col.c</t>
  </si>
  <si>
    <t>L.12 x L.4</t>
  </si>
  <si>
    <t>FF1, P.118, L.29</t>
  </si>
  <si>
    <t>C26</t>
  </si>
  <si>
    <t>C21</t>
  </si>
  <si>
    <t>C31</t>
  </si>
  <si>
    <t>E30</t>
  </si>
  <si>
    <t>B11</t>
  </si>
  <si>
    <t>D18</t>
  </si>
  <si>
    <t>WP-13</t>
  </si>
  <si>
    <t>D125</t>
  </si>
  <si>
    <t>E125</t>
  </si>
  <si>
    <t>F125</t>
  </si>
  <si>
    <t>G125</t>
  </si>
  <si>
    <t>H125</t>
  </si>
  <si>
    <t>I125</t>
  </si>
  <si>
    <t>J125</t>
  </si>
  <si>
    <t>K125</t>
  </si>
  <si>
    <t>L125</t>
  </si>
  <si>
    <t>M125</t>
  </si>
  <si>
    <t>N125</t>
  </si>
  <si>
    <t>O125</t>
  </si>
  <si>
    <t>Payroll Related Other Taxes</t>
  </si>
  <si>
    <t>Property Related Other Taxes</t>
  </si>
  <si>
    <t>PRODUCTION RELATED TAXES OTHER THAN INCOME</t>
  </si>
  <si>
    <t>Labor Related</t>
  </si>
  <si>
    <t>Property Related</t>
  </si>
  <si>
    <t xml:space="preserve">Allocated on the basis of Gross Plant Investment from </t>
  </si>
  <si>
    <t>Not allocated to wholesale</t>
  </si>
  <si>
    <t>GSU &amp; Associated Investment</t>
  </si>
  <si>
    <t>Production Related General &amp; Intangible Plant</t>
  </si>
  <si>
    <t>B13</t>
  </si>
  <si>
    <t>GSU &amp; Associated Investment O&amp;M</t>
  </si>
  <si>
    <t>Note:</t>
  </si>
  <si>
    <t>FF1, P.336, L.7, Col.b</t>
  </si>
  <si>
    <t>NOTE B:  FF1, P.321, L.93 &amp; L.107 (ACCTS. 562 &amp; 570) times GSU Investment to Account 353 ratio (See</t>
  </si>
  <si>
    <t>Total (Col. (1), L.1) allocated on the basis of wages &amp; salaries in</t>
  </si>
  <si>
    <t>B-4 treats as credit</t>
  </si>
  <si>
    <t>Station Equipment Acct. 353 Investment</t>
  </si>
  <si>
    <t>Prepayments Nonlabor</t>
  </si>
  <si>
    <t>Prepayments Labor</t>
  </si>
  <si>
    <t xml:space="preserve">                 and Variable Components in accordance with P.15 and WP-14</t>
  </si>
  <si>
    <t>Gross Plant Allocation Factor</t>
  </si>
  <si>
    <t>Gross Plant Allocator</t>
  </si>
  <si>
    <t>Demand Related Production Plant</t>
  </si>
  <si>
    <t>Energy Related Production Plant</t>
  </si>
  <si>
    <t>Production Plant  Gross Plant Allocator</t>
  </si>
  <si>
    <t>Production Plant - Demand Related</t>
  </si>
  <si>
    <t>Production Plant  - Energy Related</t>
  </si>
  <si>
    <t>L.18 / L.16</t>
  </si>
  <si>
    <t>Total Preferred Stock</t>
  </si>
  <si>
    <t xml:space="preserve">Note B:  </t>
  </si>
  <si>
    <t>Total Proprietary Capital</t>
  </si>
  <si>
    <t>Less:</t>
  </si>
  <si>
    <t>Preferred Stock (Acc 204, pfd portion of Acc 207-213)</t>
  </si>
  <si>
    <t>Unappropriated Undistributed Subsidiary Earnings (Acc 216.1)</t>
  </si>
  <si>
    <t>Accumulated Comprehensive Other Income (Acc 219)</t>
  </si>
  <si>
    <t>B-13b</t>
  </si>
  <si>
    <t>Page 13a</t>
  </si>
  <si>
    <t>Page 13b</t>
  </si>
  <si>
    <t>Preferred Stock Outstanding</t>
  </si>
  <si>
    <t>&amp; Cost</t>
  </si>
  <si>
    <t>Bonds (Acc 221)</t>
  </si>
  <si>
    <t>FF1, 112.18.c.</t>
  </si>
  <si>
    <t>Less:  Reacquired Bonds (Acc 222)</t>
  </si>
  <si>
    <t>FF1, 112.19.c.</t>
  </si>
  <si>
    <t>Advances from Assoc Companies (Acc 223)</t>
  </si>
  <si>
    <t>FF1, 112.20.c.</t>
  </si>
  <si>
    <t>Other Long Term Debt (Acc 224)</t>
  </si>
  <si>
    <t>FF1, 112.21.c.</t>
  </si>
  <si>
    <t>Total Long Term Debt Balance</t>
  </si>
  <si>
    <t>Costs and Expenses (actual)</t>
  </si>
  <si>
    <t>Interest Expense (Acc 427)</t>
  </si>
  <si>
    <t>FF1, 117.62.c.</t>
  </si>
  <si>
    <t>Amortization Debt Discount and Expense (Acc 428)</t>
  </si>
  <si>
    <t>FF1, 117.63.c.</t>
  </si>
  <si>
    <t>Amortization Loss on Reacquired Debt (Acc 428.1)</t>
  </si>
  <si>
    <t>FF1, 117.64.c.</t>
  </si>
  <si>
    <t>Less:  Amortiz Premium on Reacquired Debt (Acc 429)</t>
  </si>
  <si>
    <t>FF1, 117.65.c.</t>
  </si>
  <si>
    <t>Less:  Amortiz Gain on Reacquired Debt (Acc 429.1)</t>
  </si>
  <si>
    <t>FF1, 117.66.c.</t>
  </si>
  <si>
    <t>Interest on LTD Assoc Companies (portion Acc 430)</t>
  </si>
  <si>
    <t>Total LTD Cost Amount</t>
  </si>
  <si>
    <t>Limit on Hedging (G)/L on Interest Rate Derivatives of LTD</t>
  </si>
  <si>
    <t xml:space="preserve">       Enter a hedge Gain as a negative value and a hedge Loss as a positive value</t>
  </si>
  <si>
    <t>Total Capitalization</t>
  </si>
  <si>
    <t>5 basis point Limit on (G)/L Recovery</t>
  </si>
  <si>
    <t>Amount of (G)/L Recovery Limit</t>
  </si>
  <si>
    <t>Annual amortization of net gains or net loss on interest rate derivative hedges on long term debt shall not cause the composite</t>
  </si>
  <si>
    <t>Percent of FIT deductible for state purposes</t>
  </si>
  <si>
    <t>Allocation Factors for Production-Related General</t>
  </si>
  <si>
    <t>Plant based on Production Wages &amp; Salaries</t>
  </si>
  <si>
    <t>P.2</t>
  </si>
  <si>
    <t>2.  Less Fuel Handling / Sale of Fly Ash</t>
  </si>
  <si>
    <t>% Plant from P.6, L.7.</t>
  </si>
  <si>
    <t>Steam Production Plant Depreciation Expense</t>
  </si>
  <si>
    <t>Other Production Plant Depreciation Expense</t>
  </si>
  <si>
    <t>General &amp; Intangible Plant Depreciation Expense</t>
  </si>
  <si>
    <t>Other Steam Gen &amp; Other Power Gen Exp</t>
  </si>
  <si>
    <t>Plant in Service (Note C)</t>
  </si>
  <si>
    <t>Includes Accumulated Depreciation associated with the Generator Step-Up Transformers and Other Generation investments.</t>
  </si>
  <si>
    <t>Electric O &amp; M Expenses (excl. A &amp; G), P.354, Col.(b) and Services</t>
  </si>
  <si>
    <t>shown on Worksheets WP-9a and WP-9b.</t>
  </si>
  <si>
    <t>Note A:  Classification based on Production Plant classification of P.19, L.20 and L.21.</t>
  </si>
  <si>
    <t>WP-5c</t>
  </si>
  <si>
    <t xml:space="preserve">                  P.3, L.9)</t>
  </si>
  <si>
    <t>100% Production</t>
  </si>
  <si>
    <t>Exclusions</t>
  </si>
  <si>
    <t>(Energy Related)</t>
  </si>
  <si>
    <t>Labor</t>
  </si>
  <si>
    <t>Excluded Items</t>
  </si>
  <si>
    <t>100% Production (Energy)</t>
  </si>
  <si>
    <t>Production Allocation</t>
  </si>
  <si>
    <t>(Gross Plant or Wages/Salaries)</t>
  </si>
  <si>
    <t>Demand Related</t>
  </si>
  <si>
    <t>Allocation Basis</t>
  </si>
  <si>
    <t>Direct</t>
  </si>
  <si>
    <t>B-6, L. 7</t>
  </si>
  <si>
    <t>Summary Production Related ADIT</t>
  </si>
  <si>
    <t>P Plant (Energy Related)</t>
  </si>
  <si>
    <t>WP-19</t>
  </si>
  <si>
    <t>WP-8a</t>
  </si>
  <si>
    <t xml:space="preserve">   Acct 190</t>
  </si>
  <si>
    <t xml:space="preserve">   Acct 282</t>
  </si>
  <si>
    <t xml:space="preserve">   Acct 283</t>
  </si>
  <si>
    <t xml:space="preserve">      Excluded Items</t>
  </si>
  <si>
    <t xml:space="preserve">      100% Production (Energy)</t>
  </si>
  <si>
    <t xml:space="preserve">      Labor Related</t>
  </si>
  <si>
    <t>PRODUCTION-RELATED ADIT</t>
  </si>
  <si>
    <t>ELECTRIC PLANT IN SERVICE, ACCUMULATED DEPRECIATION AND ADIT</t>
  </si>
  <si>
    <t>Asset Retirement Costs</t>
  </si>
  <si>
    <t>M13</t>
  </si>
  <si>
    <t>O12</t>
  </si>
  <si>
    <t>F39</t>
  </si>
  <si>
    <t>K13</t>
  </si>
  <si>
    <t>D13</t>
  </si>
  <si>
    <t>Includes Generator Step-Up Transformers and Other Generation related investments previously included in the transmission accounts</t>
  </si>
  <si>
    <t>Excludes ARO amounts.</t>
  </si>
  <si>
    <t>Production Related Taxes</t>
  </si>
  <si>
    <t>WP-8ai</t>
  </si>
  <si>
    <t>C12</t>
  </si>
  <si>
    <t>C14</t>
  </si>
  <si>
    <t>/365</t>
  </si>
  <si>
    <t>WP-15D</t>
  </si>
  <si>
    <t xml:space="preserve">      100% Production (Demand)</t>
  </si>
  <si>
    <t>Year End Balance</t>
  </si>
  <si>
    <t>(Demand Related)</t>
  </si>
  <si>
    <t>P Plant (Demand Related)</t>
  </si>
  <si>
    <t>100% Production (Demand)</t>
  </si>
  <si>
    <t>Allowances</t>
  </si>
  <si>
    <t>COMMON EQUITY</t>
  </si>
  <si>
    <t>PREFERRED STOCK</t>
  </si>
  <si>
    <t>Total Balance of Common Equity</t>
  </si>
  <si>
    <t xml:space="preserve">   Acct 281</t>
  </si>
  <si>
    <t>Average of demand at time of PJM five highest daily peaks.</t>
  </si>
  <si>
    <t>$/MW/Day</t>
  </si>
  <si>
    <t>MW</t>
  </si>
  <si>
    <t>$/MW   =</t>
  </si>
  <si>
    <t>Capacity Daily Rates</t>
  </si>
  <si>
    <t>Capacity Daily Charge:</t>
  </si>
  <si>
    <t>Capitalization</t>
  </si>
  <si>
    <t>3.  Land</t>
  </si>
  <si>
    <t>7.  Structures</t>
  </si>
  <si>
    <t>11.  Office Equipment</t>
  </si>
  <si>
    <t>LONG TERM DEBT</t>
  </si>
  <si>
    <t>Amortization Period</t>
  </si>
  <si>
    <t>Beginning</t>
  </si>
  <si>
    <t>Ending</t>
  </si>
  <si>
    <t>Total Hedge Amortization</t>
  </si>
  <si>
    <t>Page 12a</t>
  </si>
  <si>
    <t>HEDGE AMT BY ISSUANCE</t>
  </si>
  <si>
    <t>Total Hedge</t>
  </si>
  <si>
    <t>(Gain) / Loss</t>
  </si>
  <si>
    <t>Excludable</t>
  </si>
  <si>
    <t>Amounts (Note A)</t>
  </si>
  <si>
    <t xml:space="preserve">Net Includable </t>
  </si>
  <si>
    <t>Hedge Amount</t>
  </si>
  <si>
    <t>Unamortized</t>
  </si>
  <si>
    <t>after-tax weighted average cost of captial to increase/decrease by more than 5 basis points. Hedge gains/losses shall be amortized</t>
  </si>
  <si>
    <t xml:space="preserve"> over the life of the related debt issuance.  The unamortized balance of the g/l shall remain in Acc 219 Other Comprehensive Income </t>
  </si>
  <si>
    <t xml:space="preserve">portion of pre-issuance hedges, cash settlements of fair value hedges issued on Long Term Debt, post-issuance cash flow hedges, </t>
  </si>
  <si>
    <t>Sub-total Costs and Expense</t>
  </si>
  <si>
    <t>Less:  Total Hedge (Gain) / Loss</t>
  </si>
  <si>
    <t>Plus: Allowed Hedge Recovery</t>
  </si>
  <si>
    <t>FERC Form 1, p. 256-257 (i)</t>
  </si>
  <si>
    <t xml:space="preserve">Note A: </t>
  </si>
  <si>
    <t xml:space="preserve">    administrative and general expense, FF1, P.354, Col.(b), Ln.28 - L.27 (see workpaper 9a).</t>
  </si>
  <si>
    <t>Sum L.1 : L.5</t>
  </si>
  <si>
    <t>L.19</t>
  </si>
  <si>
    <t>P.6, L.5, Col.3</t>
  </si>
  <si>
    <t>P.6, L.5, Col.4</t>
  </si>
  <si>
    <t>and shall not flow through the rate calculation.  Hedge-related ADIT shall not flow through rate base.  Amounts related to the ineffective</t>
  </si>
  <si>
    <t>D14</t>
  </si>
  <si>
    <t>E14</t>
  </si>
  <si>
    <t>C29+C33</t>
  </si>
  <si>
    <t>WP-11</t>
  </si>
  <si>
    <t>Senior Unsecured Notes - Series H</t>
  </si>
  <si>
    <t xml:space="preserve">    FF1, P.354, Col.(b), L.20. (see WP-9a)</t>
  </si>
  <si>
    <t>Coolants and Water</t>
  </si>
  <si>
    <t>Steam Expenses</t>
  </si>
  <si>
    <t>Less: ; Steam Transferred</t>
  </si>
  <si>
    <t>Electric Expenses</t>
  </si>
  <si>
    <t>Miscellaneous Nuclear Power Expense</t>
  </si>
  <si>
    <t>Maintenance of Reactor Plant Equip</t>
  </si>
  <si>
    <t>Maintenance of Misc Nuclear Plant</t>
  </si>
  <si>
    <t xml:space="preserve">    Total power production expenses Nuclear</t>
  </si>
  <si>
    <t>Nuclear Power</t>
  </si>
  <si>
    <t>9.     Account 158 Allowances</t>
  </si>
  <si>
    <t>Account 158 - Allowances</t>
  </si>
  <si>
    <t>2.  Fuel  (Note C)</t>
  </si>
  <si>
    <t>E17</t>
  </si>
  <si>
    <t>Account 151 Fuel Inventory</t>
  </si>
  <si>
    <t>Account 120 Nuclear Fuel</t>
  </si>
  <si>
    <t>Account 152 Undistributed</t>
  </si>
  <si>
    <t>NOTE C:  Pursuant to FERC Order 668, expenses were booked in Account 556 are now being recorded</t>
  </si>
  <si>
    <t>in the following accounts:  561.4, 561.8 and 575.7</t>
  </si>
  <si>
    <t>P.17, L.6, Col.(3)</t>
  </si>
  <si>
    <t>B10</t>
  </si>
  <si>
    <t>Not Allocated (Gross Receipts and Dist. Related)</t>
  </si>
  <si>
    <t>Gross Receipts / Distribution Related</t>
  </si>
  <si>
    <t>NOTE A:  Amounts recorded in O&amp;M Expense Accounts classified into Fixed</t>
  </si>
  <si>
    <t>sum(D27+D30)</t>
  </si>
  <si>
    <t>(D28+D29)x50%</t>
  </si>
  <si>
    <t>Energy Credit Revenue</t>
  </si>
  <si>
    <t>Return on equity cannot be changed absent a Section 205/206 filing with the Commission.</t>
  </si>
  <si>
    <t>Appendix 1</t>
  </si>
  <si>
    <t>P.6, L.4, Col.(2)-(4)</t>
  </si>
  <si>
    <t>P.6, L.11, Col.(2)-(4)</t>
  </si>
  <si>
    <t>P.9, L.2, Col.(2)-(4)</t>
  </si>
  <si>
    <t>P.9, L.8, Col.(2)-(4)</t>
  </si>
  <si>
    <t xml:space="preserve">Workpapers -- WP-5c Prepayments include amounts booked to Account 165.  Nonlabor related prepayments allocated to the </t>
  </si>
  <si>
    <t>Workpapers -- WP-19</t>
  </si>
  <si>
    <t>L.5/L.6</t>
  </si>
  <si>
    <t>Workpapers WP-5b</t>
  </si>
  <si>
    <t>Note C:  Workpapers WP-5b</t>
  </si>
  <si>
    <t>Workpapers WP -- 11 Excluding all items not related to wholesale service and also excludes FERC assessment of annual charges.</t>
  </si>
  <si>
    <t>Workpapers 10-a</t>
  </si>
  <si>
    <t>Workpapers --13, L.7</t>
  </si>
  <si>
    <t>Page 11, L.4, col.(1)</t>
  </si>
  <si>
    <t>Workpaper -- WP-12b.</t>
  </si>
  <si>
    <t xml:space="preserve">        Fuel Used In Electric Generation </t>
  </si>
  <si>
    <t>Sum L.1-L. 11</t>
  </si>
  <si>
    <t>FF1 excluding the amortization of acquisition adjustments - Workpapers WP -- 6d.</t>
  </si>
  <si>
    <t>Workpapers -- WP8c.</t>
  </si>
  <si>
    <t>L. 10 X L. 11</t>
  </si>
  <si>
    <t>Page 6, Ln.7</t>
  </si>
  <si>
    <t xml:space="preserve">       To be subtracted or added to actual Interest Expenses on Page 12, Line 14</t>
  </si>
  <si>
    <t>Page 1 of 2</t>
  </si>
  <si>
    <t>Page 2 of 2</t>
  </si>
  <si>
    <t>Note D:  Workpapers WP-5a</t>
  </si>
  <si>
    <t>Workpapers -- WP1</t>
  </si>
  <si>
    <t>Note F:</t>
  </si>
  <si>
    <t>Formula Rate Template - Capacity Rate</t>
  </si>
  <si>
    <t>Note A &amp; D</t>
  </si>
  <si>
    <t>Workpapers -- WP-17</t>
  </si>
  <si>
    <t>** FERC References are based on the 2011 FERC Form 1 **</t>
  </si>
  <si>
    <t>Appalachian Power Company</t>
  </si>
  <si>
    <t xml:space="preserve">   Acct 255</t>
  </si>
  <si>
    <t>Other Tangible Property</t>
  </si>
  <si>
    <t>D56</t>
  </si>
  <si>
    <t>C15</t>
  </si>
  <si>
    <t>Senior Unsecured Notes - Series N</t>
  </si>
  <si>
    <t>Senior Unsecured Notes - Series Q</t>
  </si>
  <si>
    <t>Senior Unsecured Notes - Series S</t>
  </si>
  <si>
    <t>Senior Unsecured Notes - Series T</t>
  </si>
  <si>
    <t>G62</t>
  </si>
  <si>
    <t>G60</t>
  </si>
  <si>
    <t>G61</t>
  </si>
  <si>
    <t>E10</t>
  </si>
  <si>
    <t>E12</t>
  </si>
  <si>
    <t>G12</t>
  </si>
  <si>
    <t>K12</t>
  </si>
  <si>
    <t>Amort Debt Disc/ Exp</t>
  </si>
  <si>
    <t>Amort Loss Reacq</t>
  </si>
  <si>
    <t>Miscellaneous Equipment &amp; Other</t>
  </si>
  <si>
    <t>Source: Functionalized balances for Accounts 190, 281, 282, 283 and 255 from WP-8a and 8ai.</t>
  </si>
  <si>
    <t>B10 + D10</t>
  </si>
  <si>
    <t>C10</t>
  </si>
  <si>
    <t>APCO CAPACITY REQUIREMENTS</t>
  </si>
  <si>
    <t>(APCo 5 CP Demand/365) (Note A)</t>
  </si>
  <si>
    <t>EXCLUDES CWIP</t>
  </si>
  <si>
    <t>P.5, L.18, Col.(2)</t>
  </si>
  <si>
    <t xml:space="preserve">L.4 - L.5 + L.6 </t>
  </si>
  <si>
    <t>Prepayments Nonlabor (Note B)</t>
  </si>
  <si>
    <t>Prepayments Labor (Note B)</t>
  </si>
  <si>
    <t>Prepayments Total (Note B)</t>
  </si>
  <si>
    <t>L.7 + L.11 + L.14 + L.15</t>
  </si>
  <si>
    <t>L.16 x L.17</t>
  </si>
  <si>
    <t>18.  Communication Equipment</t>
  </si>
  <si>
    <t>19.  Miscellaneous Equip &amp; Other</t>
  </si>
  <si>
    <t>Workpapers -- WP-16</t>
  </si>
  <si>
    <t xml:space="preserve">production function based on gross plant on P.6, L.7.  Labor related prepayments allocated to production </t>
  </si>
  <si>
    <t>WP--8a, WP--8ai</t>
  </si>
  <si>
    <t>P.6a, L. 52</t>
  </si>
  <si>
    <t>P. 12a, L. 11, Col. (6)</t>
  </si>
  <si>
    <t>P. 12a, L. 15, Col. (6)</t>
  </si>
  <si>
    <t>FF1, P.251, L. 9 (f)</t>
  </si>
  <si>
    <t>Preferred stock outstanding excludes pledged and Reacquired (Treasury) preferred stock.</t>
  </si>
  <si>
    <t>P.5, L.18</t>
  </si>
  <si>
    <t>L. 12 * L. 13</t>
  </si>
  <si>
    <t>and cash flow hedges of variable rate debt issuances are not recoverable in this calculation and are to be recorded above.</t>
  </si>
  <si>
    <t>Note A:  Percent deductible for state purposes provided from Company's books and records.</t>
  </si>
  <si>
    <t>L.16 / L.15</t>
  </si>
  <si>
    <t>L.17 / L.16</t>
  </si>
  <si>
    <t>Hedge (Gain) / Loss Recovery (Lesser of Line 11 or Line 14)</t>
  </si>
  <si>
    <t>Rate will be applied to peak obligation demands</t>
  </si>
  <si>
    <t>at or adjusted to generation level (including losses).</t>
  </si>
  <si>
    <t>D166</t>
  </si>
  <si>
    <t>K10</t>
  </si>
  <si>
    <t>K11</t>
  </si>
  <si>
    <t>L.12 + L. 13</t>
  </si>
  <si>
    <t xml:space="preserve">GROSS PLANT IN SERVICE </t>
  </si>
  <si>
    <t>WP16</t>
  </si>
  <si>
    <t>P.207, L.86, Col.(g)</t>
  </si>
  <si>
    <t>P.207, L.87, Col.(g)</t>
  </si>
  <si>
    <t>P.207, L.88, Col.(g)</t>
  </si>
  <si>
    <t>P.207, L.89, Col.(g)</t>
  </si>
  <si>
    <t>P.207, L.90, Col.(g)</t>
  </si>
  <si>
    <t>P.207, L.91, L. 93, Col.(g)</t>
  </si>
  <si>
    <t>P.207, L.92, Col.(g)</t>
  </si>
  <si>
    <t>P.207, L.94, Col.(g)</t>
  </si>
  <si>
    <t>P.205, L.5, Col.(g)</t>
  </si>
  <si>
    <t>Ln. 1+L.2+L.3</t>
  </si>
  <si>
    <t>Embedded Cost of Long Term Debt = L.15, Col.(2) / L.5, Col.(1)</t>
  </si>
  <si>
    <t>FERC Form 1 Reference</t>
  </si>
  <si>
    <t>P.323, L.181, Col.(b)</t>
  </si>
  <si>
    <t>P.323, L.184, Col.(b)</t>
  </si>
  <si>
    <t>P.323, L.187, Col.(b)</t>
  </si>
  <si>
    <t>P.323, L.182, Col.(b)</t>
  </si>
  <si>
    <t>P.323, L.186, Col.(b)</t>
  </si>
  <si>
    <t>P.323, L.188, Col.(b)</t>
  </si>
  <si>
    <t>P.323, L.190, Col.(b)</t>
  </si>
  <si>
    <t>P.323, L.183, Col.(b)</t>
  </si>
  <si>
    <t>P.323, L.185, Col.(b)</t>
  </si>
  <si>
    <t>P.323, L.189, Col.(b)</t>
  </si>
  <si>
    <t>P.323, L.193, Col.(b)</t>
  </si>
  <si>
    <t>P.323, L.196, Col.(b)</t>
  </si>
  <si>
    <t>P.323, L.192, Col.(b) [Note A]</t>
  </si>
  <si>
    <t>NOTE D:  Subaccount details of FF1 Accounts from Company's books and records.</t>
  </si>
  <si>
    <t>P.320, L.5, Col.(b) [Note D]</t>
  </si>
  <si>
    <t xml:space="preserve">P.321, L.78, Col.(b) </t>
  </si>
  <si>
    <t xml:space="preserve">P.321, L.77, L. 88, L. 92, P. 322, L. 121, Col.(b) </t>
  </si>
  <si>
    <t xml:space="preserve">P.321, L.76, Col.(b) </t>
  </si>
  <si>
    <t>Depreciation and Amortization Expense</t>
  </si>
  <si>
    <t xml:space="preserve">Total Production </t>
  </si>
  <si>
    <t>Hydro Production Plant Conventional Depreciation Expense</t>
  </si>
  <si>
    <t>Hydro Production Plant Pumped Storage Depreciation Expense</t>
  </si>
  <si>
    <t>Hydro Conventional</t>
  </si>
  <si>
    <t>Hydro Pump Storage</t>
  </si>
  <si>
    <t>Production Plant Accretion Expense</t>
  </si>
  <si>
    <t xml:space="preserve">  </t>
  </si>
  <si>
    <t>WP6a, Ln. 11</t>
  </si>
  <si>
    <t>WP6a, Ln. 2</t>
  </si>
  <si>
    <t>Accumulated Prov. Depreciation (Note D)</t>
  </si>
  <si>
    <t>Accumulated Prov. Dep. (GSU)</t>
  </si>
  <si>
    <t>Plant in Service (Note C) (GSU)</t>
  </si>
  <si>
    <t>GSU DETAILS [Lns. 2 and 9 above]</t>
  </si>
  <si>
    <t>Ln. 6</t>
  </si>
  <si>
    <t>Ln. 11</t>
  </si>
  <si>
    <t>FF1, pg. 257, Ln. 33 Col(i)</t>
  </si>
  <si>
    <t>System Control and Load Dispatching</t>
  </si>
  <si>
    <t>Scheduling, System Control</t>
  </si>
  <si>
    <t>Reliability, Planning and Standards Dev.</t>
  </si>
  <si>
    <t>Market Facilitation, Monitoring and Compliance</t>
  </si>
  <si>
    <t>Ln. 7, Pg. 14</t>
  </si>
  <si>
    <t>Reconciliation of System Control of Load Dispatching</t>
  </si>
  <si>
    <t xml:space="preserve">General Plant </t>
  </si>
  <si>
    <t>WP 6d</t>
  </si>
  <si>
    <t>Total General &amp; Intangible Plant</t>
  </si>
  <si>
    <t>Production Related General &amp; Intangible Plant (Note B)</t>
  </si>
  <si>
    <t>Total Production Related General &amp; Intangible Plant</t>
  </si>
  <si>
    <t>Production Demand Labor Allocator</t>
  </si>
  <si>
    <t>a</t>
  </si>
  <si>
    <t>b</t>
  </si>
  <si>
    <t>c</t>
  </si>
  <si>
    <t>d</t>
  </si>
  <si>
    <t>e</t>
  </si>
  <si>
    <t>f</t>
  </si>
  <si>
    <t>g</t>
  </si>
  <si>
    <t>h</t>
  </si>
  <si>
    <t>Ln. b+ Ln. c</t>
  </si>
  <si>
    <t>Ln. d  x  Ln. e</t>
  </si>
  <si>
    <t>Ln. d  x  Ln. g</t>
  </si>
  <si>
    <t>i</t>
  </si>
  <si>
    <t>Ln. f + Ln. h</t>
  </si>
  <si>
    <t xml:space="preserve">Production Demand Related General &amp; Intangible </t>
  </si>
  <si>
    <t>Production Energy Related General &amp; Intangible</t>
  </si>
  <si>
    <t>G38</t>
  </si>
  <si>
    <t>G11</t>
  </si>
  <si>
    <t>G35</t>
  </si>
  <si>
    <t>G17</t>
  </si>
  <si>
    <t>PBOP expense  is fixed at $6,222,780.  This amount cannot be changed absent a Section 205/206 filing with the Commission.</t>
  </si>
  <si>
    <t>Plus:  Premium on Preferred Stock</t>
  </si>
  <si>
    <t xml:space="preserve">Note A </t>
  </si>
  <si>
    <t>FF1, P. 112, L.6</t>
  </si>
  <si>
    <t>L.1  / L.4</t>
  </si>
  <si>
    <t>B9</t>
  </si>
  <si>
    <t>B12</t>
  </si>
  <si>
    <t>B15+B16</t>
  </si>
  <si>
    <t>L.16</t>
  </si>
  <si>
    <t>L.20</t>
  </si>
  <si>
    <t>20.      Subtotal General Plant</t>
  </si>
  <si>
    <t>Other Production</t>
  </si>
  <si>
    <t>Line 8 will be total General &amp; Intangible Plant (from P.336 of the FF1, adjusted for</t>
  </si>
  <si>
    <t>Line 7, see P.3, L.5</t>
  </si>
  <si>
    <t xml:space="preserve">Sales for Resale </t>
  </si>
  <si>
    <t>Sales for Resale (Energy Credit)</t>
  </si>
  <si>
    <t>Sum (L.1 : L.5) - (L.6 +L.7)</t>
  </si>
  <si>
    <t>Where:  Annual Production Fixed Cost, P.4, L. 8</t>
  </si>
  <si>
    <t>Note A:  Reconciliation of Interest Expense to FF1, pg. 257, Ln. 33 Col(i)</t>
  </si>
  <si>
    <t>1 of 2</t>
  </si>
  <si>
    <t>2 of 2</t>
  </si>
  <si>
    <t>See page 20 for depreciation rates by plant account.</t>
  </si>
  <si>
    <t xml:space="preserve">Capacity related revenues associated with sales as reported in Account 447 </t>
  </si>
  <si>
    <t>(includes pool capacity demand).  See Workpaper 15d.</t>
  </si>
  <si>
    <t>Workpaper 15d</t>
  </si>
  <si>
    <t>Appendix 2</t>
  </si>
  <si>
    <t>Page 20</t>
  </si>
  <si>
    <t>1 of 6</t>
  </si>
  <si>
    <t>STEAM PRODUCTION PLANT</t>
  </si>
  <si>
    <t>Mountaineer Plant</t>
  </si>
  <si>
    <t>Structures and Improvements</t>
  </si>
  <si>
    <t>Boiler Plant Equipment</t>
  </si>
  <si>
    <t>Turbogenerator Units</t>
  </si>
  <si>
    <t>Accessory Electric Equipment</t>
  </si>
  <si>
    <t>Misc. Power Plant Equipment</t>
  </si>
  <si>
    <t>Kanawha River Plant</t>
  </si>
  <si>
    <t>Amos Plant - Units 1 &amp; 2</t>
  </si>
  <si>
    <t>Amos Plant - Unit 3</t>
  </si>
  <si>
    <t>Sporn Plant</t>
  </si>
  <si>
    <t>Clinch River Plant</t>
  </si>
  <si>
    <t>Glen Lyn Plant #5</t>
  </si>
  <si>
    <t>Glen Lyn Plant #6</t>
  </si>
  <si>
    <t>and Common</t>
  </si>
  <si>
    <t>Putnam Coal Terminal</t>
  </si>
  <si>
    <t>Central Plant Maintenance</t>
  </si>
  <si>
    <t>Central Machine Shop</t>
  </si>
  <si>
    <t>HYDRAULIC PRODUCTION PLANT</t>
  </si>
  <si>
    <t>Claytor</t>
  </si>
  <si>
    <t>Reservoirs, Dams, Waterways</t>
  </si>
  <si>
    <t>Waterwheels, Generators, Turbines</t>
  </si>
  <si>
    <t>Accessory Plant Equipment</t>
  </si>
  <si>
    <t>Misc Power Plant Equip</t>
  </si>
  <si>
    <t>Roads, Railroads, Bridges</t>
  </si>
  <si>
    <t>Byllesby</t>
  </si>
  <si>
    <t>Buck</t>
  </si>
  <si>
    <t>Niagara</t>
  </si>
  <si>
    <t>Reusens</t>
  </si>
  <si>
    <t>Leesville</t>
  </si>
  <si>
    <t>London</t>
  </si>
  <si>
    <t>Marmet</t>
  </si>
  <si>
    <t>Winfield</t>
  </si>
  <si>
    <t>Smith Mountain</t>
  </si>
  <si>
    <t>OTHER PRODUCTION PLANT</t>
  </si>
  <si>
    <t>Ceredo</t>
  </si>
  <si>
    <t>Generators</t>
  </si>
  <si>
    <t>Accessory Electrical Equip.</t>
  </si>
  <si>
    <t>Misc Power Plant Equipment</t>
  </si>
  <si>
    <t>GENERAL PLANT</t>
  </si>
  <si>
    <t>Office Furniture and Fixtures</t>
  </si>
  <si>
    <t>Transportation Equipment</t>
  </si>
  <si>
    <t>Tools, Shop &amp; Garage Equip.</t>
  </si>
  <si>
    <t>Laboratory Equipment</t>
  </si>
  <si>
    <t>Power Operated Equipment</t>
  </si>
  <si>
    <t>Communications Equipment</t>
  </si>
  <si>
    <t>Misc Equipment</t>
  </si>
  <si>
    <t>INTANGIBLE PLANT</t>
  </si>
  <si>
    <t>Organization</t>
  </si>
  <si>
    <t>Franchises &amp; Consents</t>
  </si>
  <si>
    <t>Misc Intangible Plant</t>
  </si>
  <si>
    <t>shown on this page of the template absent a Section 205 or Section 206 filing.</t>
  </si>
  <si>
    <t xml:space="preserve">Note:  APCo will not change the depreciation or amortization rates </t>
  </si>
  <si>
    <t xml:space="preserve">                                              DEPRECIATION RATES</t>
  </si>
  <si>
    <t>2 of 6</t>
  </si>
  <si>
    <t>3 of 6</t>
  </si>
  <si>
    <t>4 of 6</t>
  </si>
  <si>
    <t>5 of 6</t>
  </si>
  <si>
    <t>6 of 6</t>
  </si>
  <si>
    <t>P.16, L.9, Col.(2) Note A</t>
  </si>
  <si>
    <t>L. 14</t>
  </si>
  <si>
    <t>L.18</t>
  </si>
  <si>
    <t>Lines 1 through 6 will be Depreciation Expense reported on P.336 of the</t>
  </si>
  <si>
    <t>NOTE E:  Amounts included in Line 8.</t>
  </si>
  <si>
    <t>P.6, L.12, Col.(2)-(4)</t>
  </si>
  <si>
    <t>P.8, L.7, Col.(1)-(3)</t>
  </si>
  <si>
    <t>WP6b, Ln. 7</t>
  </si>
  <si>
    <t>L.1-L.2-L.3-L.4</t>
  </si>
  <si>
    <t>P.3, L.1, Col.(2)</t>
  </si>
  <si>
    <t>Ln. 14 + L.15</t>
  </si>
  <si>
    <t xml:space="preserve">Ln. 18+ L.19 </t>
  </si>
  <si>
    <t>P.14, L.12 Col.(1)-(3)</t>
  </si>
  <si>
    <t>P.14, L.1 thru L. 3 Col.(1)-(3)</t>
  </si>
  <si>
    <t>P.14, L.11 Col.(1)-(3)</t>
  </si>
  <si>
    <t>P.10, L.17 Col.(3)-(5)</t>
  </si>
  <si>
    <t>P.13b, L.5,Col.(2)</t>
  </si>
  <si>
    <t>P.13a, L.5,Col.(2)</t>
  </si>
  <si>
    <t>P.13a, L.4, Col.(2)</t>
  </si>
  <si>
    <t>P.12, L.5, Col.(1)</t>
  </si>
  <si>
    <t>FF1, P.110, L. 45,46</t>
  </si>
  <si>
    <t xml:space="preserve">WP-12a, L.1, Col. a </t>
  </si>
  <si>
    <t>WP-12a, L.1, Col.b+c+d</t>
  </si>
  <si>
    <t>WP-12a, L.1, Col.e</t>
  </si>
  <si>
    <t>WP-12a, L.1, Col. F</t>
  </si>
  <si>
    <t>P.6, L.4, Col.1</t>
  </si>
  <si>
    <t>E11+F11+G11</t>
  </si>
  <si>
    <t>I11</t>
  </si>
  <si>
    <t>Depreciation expense excludes amounts associated with ARO.</t>
  </si>
  <si>
    <t>P.12, L.16 Col. (2)</t>
  </si>
  <si>
    <t>FF1, P.214</t>
  </si>
  <si>
    <t>Total Accumulated Depreciation (Note D)</t>
  </si>
  <si>
    <t>Source</t>
  </si>
  <si>
    <t>Balances</t>
  </si>
  <si>
    <t>13.  A &amp; G Expense P.10, L.17</t>
  </si>
  <si>
    <t>Rates &amp; Amounts</t>
  </si>
  <si>
    <t xml:space="preserve">       where WCLTD from pg. 11, L.1, Col.(4) and WACC from</t>
  </si>
  <si>
    <t>P.6, L.5, Col.2</t>
  </si>
  <si>
    <t>Accumulated Provision for Depreciation</t>
  </si>
  <si>
    <t>C37</t>
  </si>
  <si>
    <t>C39</t>
  </si>
  <si>
    <t>P.207, L. 97, Col.(g)</t>
  </si>
  <si>
    <t>P.207, L.95, Col.(g)</t>
  </si>
  <si>
    <t>P.207, L.96, Col.(g)</t>
  </si>
  <si>
    <t>23.  TOTAL GENERAL PLANT</t>
  </si>
  <si>
    <t>24.  INTANGIBLE PLANT</t>
  </si>
  <si>
    <t>25. TOTAL GENERAL AND INTANGIBLE</t>
  </si>
  <si>
    <t>26.  PERCENT</t>
  </si>
  <si>
    <t>L.23 + L.24</t>
  </si>
  <si>
    <t xml:space="preserve">(% From P.7, Col.(3), L.28) </t>
  </si>
  <si>
    <t>Production Energy Labor Allocator Pg. 7, Ln. 28</t>
  </si>
  <si>
    <t>T=1 - {[(1 - SIT) * (1 - FIT)] / (1 - SIT * FIT * P)} =</t>
  </si>
  <si>
    <t>P Note A</t>
  </si>
  <si>
    <t xml:space="preserve">       p. 11, L.4, Col.(4) and FIT, SIT &amp; P as shown below.</t>
  </si>
  <si>
    <t>function based on wages and salaries on P.7, Note B.</t>
  </si>
  <si>
    <t>P.7, Col(3), L.25</t>
  </si>
  <si>
    <t>B-7, Note B</t>
  </si>
  <si>
    <t>NOTE A:  See Workpaper 6c.</t>
  </si>
  <si>
    <t>NOTE B:  Allocation factors based on wages and salaries in electric operations and maintenance</t>
  </si>
  <si>
    <t>NOTE C:  L.20, Col.(3) / L.20, Col.(1)</t>
  </si>
  <si>
    <t>NOTE D:  Directly assigned to Production</t>
  </si>
  <si>
    <t>NOTE E:  L.25, Col.(3) / L.25, Col.(1)</t>
  </si>
  <si>
    <t>Note B:  Column (1) times % from P.7, Col.(3), L.26.</t>
  </si>
  <si>
    <t>General Plant % from P.7, Col.(3), L.26</t>
  </si>
  <si>
    <t>Plant to total General Plant computed on P.7, L.26, Col.(3)</t>
  </si>
  <si>
    <t>Pg. 7, Ln. 26</t>
  </si>
  <si>
    <t>GENERATOR STEP UP TRANSFORMER WORKPAPER</t>
  </si>
  <si>
    <t>D163</t>
  </si>
  <si>
    <t>D172</t>
  </si>
  <si>
    <t>D168</t>
  </si>
  <si>
    <t>D173</t>
  </si>
  <si>
    <t>D175</t>
  </si>
  <si>
    <t>sum(D176:D178)</t>
  </si>
  <si>
    <t>D176</t>
  </si>
  <si>
    <t>D178</t>
  </si>
  <si>
    <t>D165</t>
  </si>
  <si>
    <t>D167</t>
  </si>
  <si>
    <t>D174</t>
  </si>
  <si>
    <t>D179</t>
  </si>
  <si>
    <t>D183</t>
  </si>
  <si>
    <t>M11</t>
  </si>
  <si>
    <t>D55+D73+D77+D100</t>
  </si>
  <si>
    <t>J11</t>
  </si>
  <si>
    <t>sum(D78+D91)</t>
  </si>
  <si>
    <t>F27</t>
  </si>
  <si>
    <t>F28</t>
  </si>
  <si>
    <t>Amort. Gain on Debt</t>
  </si>
  <si>
    <t>F32</t>
  </si>
  <si>
    <t>F34</t>
  </si>
  <si>
    <t>F13</t>
  </si>
  <si>
    <t>C46-C44</t>
  </si>
  <si>
    <t>D164</t>
  </si>
  <si>
    <t>Land</t>
  </si>
  <si>
    <t>Structures</t>
  </si>
  <si>
    <t>Office Equipment</t>
  </si>
  <si>
    <t>Transportation</t>
  </si>
  <si>
    <t>D24</t>
  </si>
  <si>
    <t>F24</t>
  </si>
  <si>
    <t>CHECKED BY ______________________________</t>
  </si>
  <si>
    <t>F50</t>
  </si>
  <si>
    <t>D52</t>
  </si>
  <si>
    <t>12 Months Ending 12/31/2015 (actuals)</t>
  </si>
  <si>
    <t>Boiler Plant Equipment - SCR Catalyst</t>
  </si>
  <si>
    <t>Retired</t>
  </si>
  <si>
    <t>Little Broad Run</t>
  </si>
  <si>
    <t>End of Life</t>
  </si>
  <si>
    <t>Dresden</t>
  </si>
  <si>
    <t>Fuel Holders, Producers, and Accessories</t>
  </si>
  <si>
    <t>H32</t>
  </si>
  <si>
    <t>E45</t>
  </si>
  <si>
    <t>December, 2018</t>
  </si>
  <si>
    <t>G32</t>
  </si>
  <si>
    <t xml:space="preserve">COMPLETED </t>
  </si>
  <si>
    <t>12 Months Ending 12/31/2018 (actuals) for 2019</t>
  </si>
  <si>
    <t>12 Months Ending 12/31/2018 (actuals)</t>
  </si>
  <si>
    <t>E23</t>
  </si>
  <si>
    <t>E127</t>
  </si>
  <si>
    <t>E124</t>
  </si>
  <si>
    <t>E126</t>
  </si>
  <si>
    <t>E123</t>
  </si>
  <si>
    <t>E81</t>
  </si>
  <si>
    <t>E78</t>
  </si>
  <si>
    <t>E80</t>
  </si>
  <si>
    <t>E77</t>
  </si>
  <si>
    <t>E201</t>
  </si>
  <si>
    <t>E198</t>
  </si>
  <si>
    <t>E200</t>
  </si>
  <si>
    <t>E197</t>
  </si>
  <si>
    <t>F214+G214</t>
  </si>
  <si>
    <t>E214</t>
  </si>
  <si>
    <t>F16</t>
  </si>
  <si>
    <t>D16</t>
  </si>
  <si>
    <t>C16</t>
  </si>
  <si>
    <t>D15</t>
  </si>
  <si>
    <t>Senior Unsecured Notes - Series I</t>
  </si>
  <si>
    <t>Senior Unsecured Notes - Series K</t>
  </si>
  <si>
    <t>Senior Unsecured Notes - Series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</si>
</sst>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000000_)"/>
    <numFmt numFmtId="166" formatCode="0.0000_)"/>
    <numFmt numFmtId="167" formatCode="0.00_)"/>
    <numFmt numFmtId="168" formatCode="0.00000_)"/>
    <numFmt numFmtId="169" formatCode="0.00000000%"/>
    <numFmt numFmtId="170" formatCode="#,##0.0000_);\(#,##0.0000\)"/>
    <numFmt numFmtId="171" formatCode="&quot;$&quot;#,##0.00000_);\(&quot;$&quot;#,##0.00000\)"/>
    <numFmt numFmtId="172" formatCode="0.000000_)"/>
    <numFmt numFmtId="173" formatCode="0_)"/>
    <numFmt numFmtId="174" formatCode="#,##0.0_);\(#,##0.0\)"/>
    <numFmt numFmtId="175" formatCode="#,##0.00000_);\(#,##0.00000\)"/>
    <numFmt numFmtId="176" formatCode="0.0000%"/>
    <numFmt numFmtId="177" formatCode="&quot;$&quot;#,##0.00"/>
    <numFmt numFmtId="178" formatCode="#,##0.00000_);[Red]\(#,##0.00000\)"/>
    <numFmt numFmtId="179" formatCode="_(* #,##0.0000_);_(* \(#,##0.0000\);_(* &quot;-&quot;_);_(@_)"/>
    <numFmt numFmtId="180" formatCode="#,##0.00000000_);[Red]\(#,##0.00000000\)"/>
    <numFmt numFmtId="181" formatCode="0_);\(0\)"/>
    <numFmt numFmtId="182" formatCode="0."/>
    <numFmt numFmtId="183" formatCode="[$-409]mmm\-yy;@"/>
    <numFmt numFmtId="184" formatCode="_(* #,##0_);_(* \(#,##0\);_(* &quot;-&quot;??_);_(@_)"/>
    <numFmt numFmtId="185" formatCode="0.00000%"/>
  </numFmts>
  <fonts count="35">
    <font>
      <sz val="10"/>
      <name val="Courie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Courier New"/>
      <family val="3"/>
    </font>
    <font>
      <sz val="9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u/>
      <sz val="9"/>
      <name val="Arial"/>
      <family val="2"/>
    </font>
    <font>
      <sz val="10"/>
      <color indexed="3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50"/>
      <name val="Arial"/>
      <family val="2"/>
    </font>
    <font>
      <b/>
      <sz val="9"/>
      <name val="Arial"/>
      <family val="2"/>
    </font>
    <font>
      <sz val="8"/>
      <color indexed="12"/>
      <name val="Arial"/>
      <family val="2"/>
    </font>
    <font>
      <sz val="9"/>
      <color indexed="9"/>
      <name val="Arial"/>
      <family val="2"/>
    </font>
    <font>
      <sz val="8"/>
      <name val="Courier"/>
      <family val="3"/>
    </font>
    <font>
      <b/>
      <sz val="10"/>
      <name val="Arial"/>
      <family val="2"/>
    </font>
    <font>
      <sz val="10"/>
      <name val="Courier"/>
      <family val="3"/>
    </font>
    <font>
      <sz val="12"/>
      <name val="Arial MT"/>
    </font>
    <font>
      <u/>
      <sz val="8"/>
      <color indexed="12"/>
      <name val="Arial"/>
      <family val="2"/>
    </font>
    <font>
      <strike/>
      <sz val="9"/>
      <name val="Arial"/>
      <family val="2"/>
    </font>
    <font>
      <b/>
      <sz val="9"/>
      <color indexed="12"/>
      <name val="Arial"/>
      <family val="2"/>
    </font>
    <font>
      <sz val="10"/>
      <color indexed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12"/>
      <name val="Arial"/>
      <family val="2"/>
    </font>
    <font>
      <sz val="9"/>
      <name val="Courier"/>
      <family val="3"/>
    </font>
    <font>
      <b/>
      <sz val="9"/>
      <color indexed="10"/>
      <name val="Arial"/>
      <family val="2"/>
    </font>
    <font>
      <b/>
      <sz val="10"/>
      <color indexed="10"/>
      <name val="Courier"/>
      <family val="3"/>
    </font>
    <font>
      <i/>
      <sz val="9"/>
      <name val="Arial"/>
      <family val="2"/>
    </font>
    <font>
      <sz val="12"/>
      <name val="Arial"/>
      <family val="2"/>
    </font>
    <font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2"/>
      <name val="Courier"/>
      <family val="3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37" fontId="0" fillId="0" borderId="0"/>
    <xf numFmtId="40" fontId="2" fillId="0" borderId="0" applyFont="0" applyFill="0" applyBorder="0" applyAlignment="0" applyProtection="0"/>
    <xf numFmtId="0" fontId="24" fillId="0" borderId="0"/>
    <xf numFmtId="37" fontId="17" fillId="0" borderId="0"/>
    <xf numFmtId="177" fontId="18" fillId="0" borderId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8" fillId="0" borderId="0"/>
    <xf numFmtId="44" fontId="30" fillId="0" borderId="0" applyFont="0" applyFill="0" applyBorder="0" applyAlignment="0" applyProtection="0"/>
    <xf numFmtId="0" fontId="1" fillId="0" borderId="0"/>
    <xf numFmtId="0" fontId="30" fillId="0" borderId="0"/>
    <xf numFmtId="0" fontId="5" fillId="0" borderId="0"/>
    <xf numFmtId="0" fontId="30" fillId="0" borderId="0"/>
  </cellStyleXfs>
  <cellXfs count="342">
    <xf numFmtId="37" fontId="0" fillId="0" borderId="0" xfId="0"/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/>
    <xf numFmtId="37" fontId="4" fillId="0" borderId="0" xfId="0" quotePrefix="1" applyFont="1" applyFill="1" applyAlignment="1" applyProtection="1">
      <alignment horizontal="left"/>
    </xf>
    <xf numFmtId="37" fontId="4" fillId="0" borderId="0" xfId="0" quotePrefix="1" applyFont="1" applyFill="1" applyAlignment="1" applyProtection="1">
      <alignment horizontal="center"/>
    </xf>
    <xf numFmtId="37" fontId="7" fillId="0" borderId="0" xfId="0" applyFont="1" applyFill="1" applyAlignment="1" applyProtection="1">
      <alignment horizontal="left"/>
    </xf>
    <xf numFmtId="37" fontId="7" fillId="0" borderId="0" xfId="0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fill"/>
    </xf>
    <xf numFmtId="37" fontId="11" fillId="0" borderId="0" xfId="0" applyFont="1" applyFill="1" applyAlignment="1" applyProtection="1">
      <alignment horizontal="left"/>
    </xf>
    <xf numFmtId="37" fontId="11" fillId="0" borderId="0" xfId="0" applyFont="1" applyFill="1" applyProtection="1">
      <protection locked="0"/>
    </xf>
    <xf numFmtId="37" fontId="6" fillId="0" borderId="0" xfId="0" applyFont="1" applyFill="1" applyProtection="1">
      <protection locked="0"/>
    </xf>
    <xf numFmtId="37" fontId="4" fillId="0" borderId="0" xfId="0" applyFont="1" applyFill="1" applyAlignment="1">
      <alignment horizontal="left"/>
    </xf>
    <xf numFmtId="37" fontId="4" fillId="0" borderId="0" xfId="0" applyFont="1" applyFill="1" applyProtection="1">
      <protection locked="0"/>
    </xf>
    <xf numFmtId="37" fontId="4" fillId="0" borderId="0" xfId="0" applyFont="1" applyFill="1" applyProtection="1"/>
    <xf numFmtId="167" fontId="4" fillId="0" borderId="0" xfId="0" applyNumberFormat="1" applyFont="1" applyFill="1" applyProtection="1"/>
    <xf numFmtId="37" fontId="6" fillId="0" borderId="0" xfId="0" applyFont="1" applyFill="1" applyAlignment="1" applyProtection="1">
      <alignment horizontal="left"/>
      <protection locked="0"/>
    </xf>
    <xf numFmtId="37" fontId="10" fillId="0" borderId="0" xfId="0" applyFont="1" applyFill="1" applyProtection="1">
      <protection locked="0"/>
    </xf>
    <xf numFmtId="37" fontId="4" fillId="0" borderId="0" xfId="0" applyFont="1" applyFill="1" applyAlignment="1" applyProtection="1">
      <alignment horizontal="right"/>
    </xf>
    <xf numFmtId="37" fontId="4" fillId="0" borderId="0" xfId="0" applyFont="1" applyFill="1" applyAlignment="1">
      <alignment horizontal="center"/>
    </xf>
    <xf numFmtId="37" fontId="11" fillId="0" borderId="0" xfId="0" quotePrefix="1" applyFont="1" applyFill="1" applyAlignment="1" applyProtection="1">
      <alignment horizontal="left"/>
    </xf>
    <xf numFmtId="169" fontId="4" fillId="0" borderId="0" xfId="0" applyNumberFormat="1" applyFont="1" applyFill="1" applyProtection="1"/>
    <xf numFmtId="169" fontId="4" fillId="0" borderId="0" xfId="0" applyNumberFormat="1" applyFont="1" applyFill="1"/>
    <xf numFmtId="37" fontId="4" fillId="0" borderId="0" xfId="0" applyFont="1" applyFill="1" applyAlignment="1">
      <alignment horizontal="centerContinuous"/>
    </xf>
    <xf numFmtId="37" fontId="4" fillId="0" borderId="0" xfId="0" quotePrefix="1" applyFont="1" applyFill="1" applyAlignment="1" applyProtection="1">
      <alignment horizontal="right"/>
    </xf>
    <xf numFmtId="37" fontId="4" fillId="0" borderId="0" xfId="0" quotePrefix="1" applyFont="1" applyFill="1" applyAlignment="1">
      <alignment horizontal="center"/>
    </xf>
    <xf numFmtId="37" fontId="6" fillId="0" borderId="0" xfId="0" applyFont="1" applyFill="1" applyProtection="1"/>
    <xf numFmtId="37" fontId="4" fillId="0" borderId="0" xfId="0" quotePrefix="1" applyFont="1" applyFill="1" applyAlignment="1" applyProtection="1"/>
    <xf numFmtId="37" fontId="12" fillId="0" borderId="0" xfId="0" applyFont="1" applyFill="1" applyAlignment="1" applyProtection="1">
      <alignment horizontal="left"/>
    </xf>
    <xf numFmtId="175" fontId="6" fillId="0" borderId="0" xfId="0" applyNumberFormat="1" applyFont="1" applyFill="1" applyProtection="1"/>
    <xf numFmtId="37" fontId="4" fillId="0" borderId="0" xfId="0" applyFont="1" applyFill="1" applyBorder="1" applyProtection="1"/>
    <xf numFmtId="165" fontId="4" fillId="0" borderId="0" xfId="0" applyNumberFormat="1" applyFont="1" applyFill="1" applyProtection="1">
      <protection locked="0"/>
    </xf>
    <xf numFmtId="37" fontId="4" fillId="0" borderId="0" xfId="0" quotePrefix="1" applyFont="1" applyFill="1" applyAlignment="1">
      <alignment horizontal="left"/>
    </xf>
    <xf numFmtId="37" fontId="7" fillId="0" borderId="0" xfId="0" applyFont="1" applyFill="1" applyAlignment="1">
      <alignment horizontal="center"/>
    </xf>
    <xf numFmtId="37" fontId="13" fillId="0" borderId="0" xfId="0" applyFont="1" applyFill="1" applyAlignment="1">
      <alignment horizontal="center"/>
    </xf>
    <xf numFmtId="37" fontId="4" fillId="0" borderId="0" xfId="0" quotePrefix="1" applyFont="1" applyFill="1" applyAlignment="1">
      <alignment horizontal="left" wrapText="1"/>
    </xf>
    <xf numFmtId="9" fontId="6" fillId="0" borderId="0" xfId="0" applyNumberFormat="1" applyFont="1" applyFill="1"/>
    <xf numFmtId="37" fontId="0" fillId="0" borderId="0" xfId="0" applyFill="1"/>
    <xf numFmtId="5" fontId="4" fillId="0" borderId="0" xfId="0" applyNumberFormat="1" applyFont="1" applyFill="1" applyProtection="1"/>
    <xf numFmtId="7" fontId="4" fillId="0" borderId="0" xfId="0" applyNumberFormat="1" applyFont="1" applyFill="1" applyProtection="1"/>
    <xf numFmtId="5" fontId="4" fillId="0" borderId="0" xfId="0" applyNumberFormat="1" applyFont="1" applyFill="1"/>
    <xf numFmtId="37" fontId="4" fillId="0" borderId="0" xfId="0" applyFont="1" applyFill="1" applyAlignment="1">
      <alignment horizontal="right"/>
    </xf>
    <xf numFmtId="37" fontId="4" fillId="0" borderId="0" xfId="0" applyNumberFormat="1" applyFont="1" applyFill="1" applyProtection="1"/>
    <xf numFmtId="37" fontId="4" fillId="0" borderId="0" xfId="0" applyFont="1" applyFill="1" applyAlignment="1" applyProtection="1"/>
    <xf numFmtId="37" fontId="12" fillId="0" borderId="0" xfId="0" applyFont="1" applyFill="1"/>
    <xf numFmtId="10" fontId="4" fillId="0" borderId="0" xfId="0" applyNumberFormat="1" applyFont="1" applyFill="1" applyProtection="1"/>
    <xf numFmtId="37" fontId="4" fillId="0" borderId="0" xfId="0" applyFont="1" applyFill="1" applyAlignment="1" applyProtection="1">
      <alignment horizontal="centerContinuous"/>
    </xf>
    <xf numFmtId="37" fontId="3" fillId="0" borderId="0" xfId="0" applyFont="1" applyFill="1"/>
    <xf numFmtId="166" fontId="4" fillId="0" borderId="0" xfId="0" applyNumberFormat="1" applyFont="1" applyFill="1" applyProtection="1"/>
    <xf numFmtId="172" fontId="4" fillId="0" borderId="0" xfId="0" applyNumberFormat="1" applyFont="1" applyFill="1" applyProtection="1"/>
    <xf numFmtId="37" fontId="4" fillId="0" borderId="0" xfId="0" quotePrefix="1" applyFont="1" applyFill="1" applyAlignment="1" applyProtection="1">
      <alignment horizontal="centerContinuous"/>
    </xf>
    <xf numFmtId="38" fontId="4" fillId="0" borderId="0" xfId="1" applyNumberFormat="1" applyFont="1" applyFill="1" applyProtection="1"/>
    <xf numFmtId="37" fontId="5" fillId="0" borderId="0" xfId="0" applyFont="1" applyFill="1"/>
    <xf numFmtId="37" fontId="4" fillId="0" borderId="0" xfId="0" applyFont="1" applyFill="1" applyBorder="1" applyAlignment="1" applyProtection="1">
      <alignment horizontal="left"/>
    </xf>
    <xf numFmtId="37" fontId="4" fillId="0" borderId="0" xfId="0" applyFont="1" applyFill="1" applyBorder="1"/>
    <xf numFmtId="37" fontId="5" fillId="0" borderId="0" xfId="0" applyFont="1" applyFill="1" applyBorder="1"/>
    <xf numFmtId="37" fontId="4" fillId="0" borderId="0" xfId="0" applyFont="1" applyFill="1" applyBorder="1" applyAlignment="1" applyProtection="1">
      <alignment horizontal="right"/>
    </xf>
    <xf numFmtId="37" fontId="5" fillId="0" borderId="0" xfId="0" quotePrefix="1" applyFont="1" applyFill="1" applyBorder="1"/>
    <xf numFmtId="37" fontId="8" fillId="0" borderId="0" xfId="0" applyFont="1" applyFill="1" applyBorder="1"/>
    <xf numFmtId="10" fontId="9" fillId="0" borderId="0" xfId="0" applyNumberFormat="1" applyFont="1" applyFill="1" applyBorder="1"/>
    <xf numFmtId="37" fontId="9" fillId="0" borderId="0" xfId="0" applyFont="1" applyFill="1" applyBorder="1"/>
    <xf numFmtId="171" fontId="4" fillId="0" borderId="0" xfId="0" applyNumberFormat="1" applyFont="1" applyFill="1" applyProtection="1"/>
    <xf numFmtId="37" fontId="0" fillId="0" borderId="0" xfId="0" applyFill="1" applyAlignment="1">
      <alignment horizontal="center"/>
    </xf>
    <xf numFmtId="37" fontId="4" fillId="0" borderId="1" xfId="0" applyFont="1" applyFill="1" applyBorder="1" applyAlignment="1" applyProtection="1">
      <alignment horizontal="left"/>
    </xf>
    <xf numFmtId="37" fontId="4" fillId="0" borderId="2" xfId="0" applyFont="1" applyFill="1" applyBorder="1"/>
    <xf numFmtId="37" fontId="4" fillId="0" borderId="3" xfId="0" applyFont="1" applyFill="1" applyBorder="1"/>
    <xf numFmtId="37" fontId="4" fillId="0" borderId="4" xfId="0" applyFont="1" applyFill="1" applyBorder="1" applyAlignment="1" applyProtection="1">
      <alignment horizontal="left"/>
    </xf>
    <xf numFmtId="37" fontId="4" fillId="0" borderId="5" xfId="0" applyFont="1" applyFill="1" applyBorder="1" applyProtection="1"/>
    <xf numFmtId="37" fontId="4" fillId="0" borderId="5" xfId="0" applyFont="1" applyFill="1" applyBorder="1"/>
    <xf numFmtId="37" fontId="4" fillId="0" borderId="6" xfId="0" applyFont="1" applyFill="1" applyBorder="1"/>
    <xf numFmtId="164" fontId="4" fillId="0" borderId="7" xfId="0" applyNumberFormat="1" applyFont="1" applyFill="1" applyBorder="1" applyProtection="1"/>
    <xf numFmtId="37" fontId="13" fillId="0" borderId="0" xfId="0" applyFont="1" applyFill="1"/>
    <xf numFmtId="37" fontId="14" fillId="0" borderId="0" xfId="0" quotePrefix="1" applyFont="1" applyFill="1" applyAlignment="1">
      <alignment horizontal="left"/>
    </xf>
    <xf numFmtId="37" fontId="4" fillId="0" borderId="0" xfId="3" applyFont="1" applyFill="1"/>
    <xf numFmtId="178" fontId="4" fillId="0" borderId="0" xfId="1" applyNumberFormat="1" applyFont="1" applyFill="1"/>
    <xf numFmtId="180" fontId="4" fillId="0" borderId="0" xfId="1" applyNumberFormat="1" applyFont="1" applyFill="1"/>
    <xf numFmtId="176" fontId="4" fillId="0" borderId="0" xfId="5" applyNumberFormat="1" applyFont="1" applyFill="1" applyProtection="1"/>
    <xf numFmtId="39" fontId="13" fillId="0" borderId="0" xfId="0" applyNumberFormat="1" applyFont="1" applyFill="1"/>
    <xf numFmtId="37" fontId="4" fillId="0" borderId="4" xfId="0" quotePrefix="1" applyFont="1" applyFill="1" applyBorder="1" applyAlignment="1" applyProtection="1">
      <alignment horizontal="left"/>
    </xf>
    <xf numFmtId="37" fontId="4" fillId="0" borderId="8" xfId="0" applyFont="1" applyFill="1" applyBorder="1" applyAlignment="1">
      <alignment horizontal="centerContinuous"/>
    </xf>
    <xf numFmtId="37" fontId="0" fillId="0" borderId="0" xfId="0" applyFill="1" applyBorder="1"/>
    <xf numFmtId="37" fontId="4" fillId="0" borderId="9" xfId="0" applyFont="1" applyFill="1" applyBorder="1" applyProtection="1"/>
    <xf numFmtId="37" fontId="4" fillId="0" borderId="0" xfId="0" quotePrefix="1" applyFont="1" applyFill="1" applyBorder="1" applyAlignment="1" applyProtection="1">
      <alignment horizontal="left"/>
    </xf>
    <xf numFmtId="37" fontId="0" fillId="0" borderId="9" xfId="0" applyFill="1" applyBorder="1"/>
    <xf numFmtId="37" fontId="4" fillId="0" borderId="10" xfId="0" quotePrefix="1" applyFont="1" applyFill="1" applyBorder="1" applyAlignment="1" applyProtection="1">
      <alignment horizontal="left"/>
    </xf>
    <xf numFmtId="37" fontId="4" fillId="0" borderId="11" xfId="0" quotePrefix="1" applyFont="1" applyFill="1" applyBorder="1" applyAlignment="1" applyProtection="1">
      <alignment horizontal="centerContinuous"/>
    </xf>
    <xf numFmtId="37" fontId="4" fillId="0" borderId="12" xfId="0" applyFont="1" applyFill="1" applyBorder="1" applyAlignment="1">
      <alignment horizontal="centerContinuous"/>
    </xf>
    <xf numFmtId="37" fontId="4" fillId="0" borderId="13" xfId="0" applyFont="1" applyFill="1" applyBorder="1" applyAlignment="1" applyProtection="1">
      <alignment horizontal="center"/>
    </xf>
    <xf numFmtId="37" fontId="4" fillId="0" borderId="14" xfId="0" applyFont="1" applyFill="1" applyBorder="1" applyAlignment="1" applyProtection="1">
      <alignment horizontal="center"/>
    </xf>
    <xf numFmtId="37" fontId="4" fillId="0" borderId="15" xfId="0" applyFont="1" applyFill="1" applyBorder="1" applyAlignment="1" applyProtection="1">
      <alignment horizontal="center"/>
    </xf>
    <xf numFmtId="37" fontId="4" fillId="0" borderId="16" xfId="0" applyFont="1" applyFill="1" applyBorder="1"/>
    <xf numFmtId="10" fontId="4" fillId="0" borderId="0" xfId="5" applyNumberFormat="1" applyFont="1" applyFill="1"/>
    <xf numFmtId="37" fontId="4" fillId="0" borderId="0" xfId="0" applyFont="1" applyFill="1" applyBorder="1" applyAlignment="1">
      <alignment horizontal="center"/>
    </xf>
    <xf numFmtId="37" fontId="4" fillId="0" borderId="0" xfId="0" quotePrefix="1" applyFont="1" applyFill="1" applyBorder="1" applyAlignment="1">
      <alignment horizontal="left"/>
    </xf>
    <xf numFmtId="37" fontId="19" fillId="0" borderId="0" xfId="0" applyFont="1" applyFill="1" applyAlignment="1">
      <alignment horizontal="center"/>
    </xf>
    <xf numFmtId="37" fontId="4" fillId="0" borderId="0" xfId="3" applyFont="1" applyFill="1" applyAlignment="1" applyProtection="1"/>
    <xf numFmtId="1" fontId="4" fillId="0" borderId="0" xfId="0" applyNumberFormat="1" applyFont="1" applyFill="1"/>
    <xf numFmtId="49" fontId="4" fillId="0" borderId="0" xfId="0" applyNumberFormat="1" applyFont="1" applyFill="1"/>
    <xf numFmtId="37" fontId="4" fillId="0" borderId="0" xfId="3" applyFont="1" applyFill="1" applyAlignment="1" applyProtection="1">
      <alignment horizontal="left"/>
    </xf>
    <xf numFmtId="37" fontId="4" fillId="0" borderId="0" xfId="3" applyFont="1" applyFill="1" applyAlignment="1">
      <alignment horizontal="left"/>
    </xf>
    <xf numFmtId="164" fontId="4" fillId="0" borderId="0" xfId="5" applyNumberFormat="1" applyFont="1" applyFill="1"/>
    <xf numFmtId="0" fontId="4" fillId="0" borderId="0" xfId="3" quotePrefix="1" applyNumberFormat="1" applyFont="1" applyFill="1" applyAlignment="1">
      <alignment horizontal="left"/>
    </xf>
    <xf numFmtId="37" fontId="4" fillId="0" borderId="0" xfId="3" quotePrefix="1" applyFont="1" applyFill="1" applyAlignment="1">
      <alignment horizontal="left"/>
    </xf>
    <xf numFmtId="37" fontId="4" fillId="0" borderId="20" xfId="0" applyFont="1" applyFill="1" applyBorder="1"/>
    <xf numFmtId="37" fontId="7" fillId="0" borderId="0" xfId="0" applyFont="1" applyFill="1"/>
    <xf numFmtId="37" fontId="4" fillId="0" borderId="21" xfId="0" applyFont="1" applyFill="1" applyBorder="1"/>
    <xf numFmtId="37" fontId="4" fillId="0" borderId="22" xfId="0" applyFont="1" applyFill="1" applyBorder="1"/>
    <xf numFmtId="37" fontId="4" fillId="0" borderId="23" xfId="0" applyFont="1" applyFill="1" applyBorder="1"/>
    <xf numFmtId="176" fontId="4" fillId="0" borderId="0" xfId="0" quotePrefix="1" applyNumberFormat="1" applyFont="1" applyFill="1" applyAlignment="1" applyProtection="1">
      <alignment horizontal="center"/>
    </xf>
    <xf numFmtId="37" fontId="4" fillId="0" borderId="16" xfId="0" applyFont="1" applyFill="1" applyBorder="1" applyAlignment="1" applyProtection="1">
      <alignment horizontal="right"/>
    </xf>
    <xf numFmtId="182" fontId="4" fillId="0" borderId="0" xfId="0" applyNumberFormat="1" applyFont="1" applyFill="1" applyAlignment="1" applyProtection="1">
      <alignment horizontal="center"/>
    </xf>
    <xf numFmtId="182" fontId="4" fillId="0" borderId="0" xfId="0" applyNumberFormat="1" applyFont="1" applyFill="1" applyAlignment="1">
      <alignment horizontal="center"/>
    </xf>
    <xf numFmtId="37" fontId="4" fillId="0" borderId="0" xfId="0" applyFont="1" applyFill="1" applyBorder="1" applyAlignment="1" applyProtection="1">
      <alignment horizontal="center"/>
    </xf>
    <xf numFmtId="37" fontId="17" fillId="0" borderId="0" xfId="0" applyFont="1" applyFill="1"/>
    <xf numFmtId="37" fontId="20" fillId="0" borderId="0" xfId="0" applyFont="1" applyFill="1"/>
    <xf numFmtId="170" fontId="4" fillId="0" borderId="0" xfId="0" applyNumberFormat="1" applyFont="1" applyFill="1" applyProtection="1"/>
    <xf numFmtId="37" fontId="4" fillId="0" borderId="22" xfId="0" quotePrefix="1" applyFont="1" applyFill="1" applyBorder="1" applyAlignment="1" applyProtection="1">
      <alignment horizontal="left"/>
    </xf>
    <xf numFmtId="10" fontId="4" fillId="0" borderId="9" xfId="0" applyNumberFormat="1" applyFont="1" applyFill="1" applyBorder="1" applyProtection="1"/>
    <xf numFmtId="37" fontId="4" fillId="0" borderId="22" xfId="0" applyFont="1" applyFill="1" applyBorder="1" applyAlignment="1" applyProtection="1">
      <alignment horizontal="left"/>
    </xf>
    <xf numFmtId="37" fontId="4" fillId="0" borderId="24" xfId="0" applyFont="1" applyFill="1" applyBorder="1" applyAlignment="1" applyProtection="1">
      <alignment horizontal="center"/>
    </xf>
    <xf numFmtId="37" fontId="4" fillId="0" borderId="9" xfId="0" applyFont="1" applyFill="1" applyBorder="1"/>
    <xf numFmtId="37" fontId="4" fillId="0" borderId="25" xfId="0" applyFont="1" applyFill="1" applyBorder="1"/>
    <xf numFmtId="37" fontId="4" fillId="0" borderId="21" xfId="0" applyFont="1" applyFill="1" applyBorder="1" applyAlignment="1" applyProtection="1">
      <alignment horizontal="center"/>
    </xf>
    <xf numFmtId="37" fontId="4" fillId="0" borderId="26" xfId="0" applyFont="1" applyFill="1" applyBorder="1" applyAlignment="1" applyProtection="1">
      <alignment horizontal="center"/>
    </xf>
    <xf numFmtId="37" fontId="4" fillId="0" borderId="22" xfId="0" applyFont="1" applyFill="1" applyBorder="1" applyProtection="1"/>
    <xf numFmtId="10" fontId="4" fillId="0" borderId="22" xfId="0" applyNumberFormat="1" applyFont="1" applyFill="1" applyBorder="1" applyProtection="1"/>
    <xf numFmtId="10" fontId="4" fillId="0" borderId="0" xfId="0" applyNumberFormat="1" applyFont="1" applyFill="1" applyBorder="1" applyProtection="1"/>
    <xf numFmtId="37" fontId="0" fillId="0" borderId="22" xfId="0" applyFill="1" applyBorder="1"/>
    <xf numFmtId="37" fontId="4" fillId="0" borderId="17" xfId="0" applyFont="1" applyFill="1" applyBorder="1"/>
    <xf numFmtId="37" fontId="4" fillId="0" borderId="17" xfId="0" applyFont="1" applyFill="1" applyBorder="1" applyAlignment="1">
      <alignment horizontal="center"/>
    </xf>
    <xf numFmtId="37" fontId="4" fillId="0" borderId="0" xfId="0" applyFont="1" applyFill="1" applyAlignment="1">
      <alignment horizontal="left" indent="1"/>
    </xf>
    <xf numFmtId="183" fontId="7" fillId="0" borderId="0" xfId="1" applyNumberFormat="1" applyFont="1" applyFill="1" applyBorder="1" applyAlignment="1">
      <alignment horizontal="center"/>
    </xf>
    <xf numFmtId="181" fontId="4" fillId="0" borderId="0" xfId="1" applyNumberFormat="1" applyFont="1" applyFill="1" applyBorder="1" applyAlignment="1">
      <alignment horizontal="center"/>
    </xf>
    <xf numFmtId="184" fontId="4" fillId="0" borderId="0" xfId="1" applyNumberFormat="1" applyFont="1" applyFill="1" applyBorder="1" applyAlignment="1">
      <alignment horizontal="left"/>
    </xf>
    <xf numFmtId="184" fontId="4" fillId="0" borderId="0" xfId="1" applyNumberFormat="1" applyFont="1" applyFill="1" applyBorder="1" applyAlignment="1"/>
    <xf numFmtId="184" fontId="4" fillId="0" borderId="0" xfId="1" applyNumberFormat="1" applyFont="1" applyFill="1" applyBorder="1" applyAlignment="1">
      <alignment horizontal="center"/>
    </xf>
    <xf numFmtId="184" fontId="4" fillId="0" borderId="8" xfId="1" applyNumberFormat="1" applyFont="1" applyFill="1" applyBorder="1" applyAlignment="1"/>
    <xf numFmtId="10" fontId="4" fillId="0" borderId="0" xfId="1" applyNumberFormat="1" applyFont="1" applyFill="1" applyBorder="1" applyAlignment="1"/>
    <xf numFmtId="184" fontId="4" fillId="0" borderId="8" xfId="0" applyNumberFormat="1" applyFont="1" applyFill="1" applyBorder="1"/>
    <xf numFmtId="37" fontId="7" fillId="0" borderId="0" xfId="0" quotePrefix="1" applyFont="1" applyFill="1" applyAlignment="1" applyProtection="1">
      <alignment horizontal="left"/>
    </xf>
    <xf numFmtId="37" fontId="6" fillId="0" borderId="0" xfId="0" quotePrefix="1" applyFont="1" applyFill="1" applyAlignment="1" applyProtection="1">
      <alignment horizontal="center"/>
      <protection locked="0"/>
    </xf>
    <xf numFmtId="9" fontId="4" fillId="0" borderId="0" xfId="0" quotePrefix="1" applyNumberFormat="1" applyFont="1" applyFill="1" applyAlignment="1">
      <alignment horizontal="center"/>
    </xf>
    <xf numFmtId="176" fontId="6" fillId="0" borderId="0" xfId="5" applyNumberFormat="1" applyFont="1" applyFill="1" applyProtection="1">
      <protection locked="0"/>
    </xf>
    <xf numFmtId="173" fontId="6" fillId="0" borderId="0" xfId="0" applyNumberFormat="1" applyFont="1" applyFill="1" applyProtection="1">
      <protection locked="0"/>
    </xf>
    <xf numFmtId="37" fontId="11" fillId="0" borderId="0" xfId="0" applyFont="1" applyFill="1"/>
    <xf numFmtId="37" fontId="6" fillId="0" borderId="0" xfId="0" applyFont="1" applyFill="1"/>
    <xf numFmtId="37" fontId="6" fillId="0" borderId="0" xfId="0" quotePrefix="1" applyFont="1" applyFill="1" applyAlignment="1" applyProtection="1">
      <alignment horizontal="center"/>
    </xf>
    <xf numFmtId="37" fontId="12" fillId="0" borderId="0" xfId="0" quotePrefix="1" applyFont="1" applyFill="1" applyAlignment="1">
      <alignment horizontal="left"/>
    </xf>
    <xf numFmtId="37" fontId="21" fillId="0" borderId="0" xfId="0" quotePrefix="1" applyFont="1" applyFill="1" applyAlignment="1">
      <alignment horizontal="left"/>
    </xf>
    <xf numFmtId="37" fontId="6" fillId="0" borderId="0" xfId="0" applyNumberFormat="1" applyFont="1" applyFill="1" applyProtection="1">
      <protection locked="0"/>
    </xf>
    <xf numFmtId="165" fontId="6" fillId="0" borderId="0" xfId="0" applyNumberFormat="1" applyFont="1" applyFill="1" applyProtection="1">
      <protection locked="0"/>
    </xf>
    <xf numFmtId="184" fontId="4" fillId="0" borderId="0" xfId="1" applyNumberFormat="1" applyFont="1" applyFill="1"/>
    <xf numFmtId="184" fontId="4" fillId="0" borderId="0" xfId="1" applyNumberFormat="1" applyFont="1" applyFill="1" applyAlignment="1">
      <alignment horizontal="center"/>
    </xf>
    <xf numFmtId="184" fontId="4" fillId="0" borderId="0" xfId="0" applyNumberFormat="1" applyFont="1" applyFill="1"/>
    <xf numFmtId="9" fontId="4" fillId="0" borderId="0" xfId="5" applyFont="1" applyFill="1" applyBorder="1"/>
    <xf numFmtId="40" fontId="0" fillId="0" borderId="0" xfId="1" applyFont="1" applyFill="1"/>
    <xf numFmtId="174" fontId="4" fillId="0" borderId="0" xfId="0" quotePrefix="1" applyNumberFormat="1" applyFont="1" applyFill="1" applyAlignment="1" applyProtection="1">
      <alignment horizontal="right"/>
    </xf>
    <xf numFmtId="37" fontId="5" fillId="0" borderId="0" xfId="0" applyFont="1" applyAlignment="1">
      <alignment vertical="top" wrapText="1"/>
    </xf>
    <xf numFmtId="37" fontId="22" fillId="0" borderId="0" xfId="0" applyFont="1" applyAlignment="1"/>
    <xf numFmtId="0" fontId="23" fillId="0" borderId="0" xfId="2" applyFont="1" applyFill="1"/>
    <xf numFmtId="41" fontId="16" fillId="0" borderId="0" xfId="2" applyNumberFormat="1" applyFont="1" applyFill="1" applyBorder="1" applyAlignment="1">
      <alignment horizontal="center" wrapText="1"/>
    </xf>
    <xf numFmtId="184" fontId="5" fillId="0" borderId="0" xfId="2" applyNumberFormat="1" applyFont="1" applyFill="1"/>
    <xf numFmtId="43" fontId="23" fillId="0" borderId="0" xfId="2" applyNumberFormat="1" applyFont="1" applyFill="1"/>
    <xf numFmtId="0" fontId="23" fillId="0" borderId="0" xfId="2" applyFont="1"/>
    <xf numFmtId="184" fontId="5" fillId="0" borderId="0" xfId="5" applyNumberFormat="1" applyFont="1" applyFill="1" applyBorder="1"/>
    <xf numFmtId="43" fontId="23" fillId="0" borderId="0" xfId="2" applyNumberFormat="1" applyFont="1" applyFill="1" applyBorder="1"/>
    <xf numFmtId="0" fontId="16" fillId="0" borderId="0" xfId="2" applyFont="1" applyFill="1" applyBorder="1" applyAlignment="1">
      <alignment horizontal="center" wrapText="1"/>
    </xf>
    <xf numFmtId="184" fontId="5" fillId="0" borderId="0" xfId="2" applyNumberFormat="1" applyFont="1" applyFill="1" applyBorder="1"/>
    <xf numFmtId="0" fontId="5" fillId="0" borderId="0" xfId="2" applyFont="1" applyFill="1" applyBorder="1" applyAlignment="1">
      <alignment horizontal="left"/>
    </xf>
    <xf numFmtId="0" fontId="25" fillId="0" borderId="0" xfId="2" applyFont="1" applyFill="1" applyBorder="1"/>
    <xf numFmtId="184" fontId="25" fillId="0" borderId="0" xfId="1" applyNumberFormat="1" applyFont="1" applyFill="1" applyBorder="1"/>
    <xf numFmtId="37" fontId="24" fillId="0" borderId="0" xfId="0" applyFont="1" applyFill="1" applyBorder="1"/>
    <xf numFmtId="43" fontId="24" fillId="0" borderId="0" xfId="0" applyNumberFormat="1" applyFont="1" applyFill="1" applyBorder="1"/>
    <xf numFmtId="0" fontId="23" fillId="0" borderId="0" xfId="2" applyFont="1" applyFill="1" applyBorder="1"/>
    <xf numFmtId="184" fontId="5" fillId="0" borderId="0" xfId="1" applyNumberFormat="1" applyFont="1" applyFill="1" applyBorder="1"/>
    <xf numFmtId="184" fontId="5" fillId="0" borderId="0" xfId="1" applyNumberFormat="1" applyFont="1" applyFill="1"/>
    <xf numFmtId="37" fontId="4" fillId="0" borderId="0" xfId="0" applyFont="1" applyFill="1" applyAlignment="1" applyProtection="1">
      <alignment horizontal="right" wrapText="1"/>
    </xf>
    <xf numFmtId="37" fontId="4" fillId="0" borderId="16" xfId="0" applyFont="1" applyFill="1" applyBorder="1" applyProtection="1"/>
    <xf numFmtId="37" fontId="4" fillId="0" borderId="0" xfId="0" applyFont="1" applyFill="1" applyAlignment="1">
      <alignment horizontal="center" vertical="top"/>
    </xf>
    <xf numFmtId="37" fontId="26" fillId="0" borderId="0" xfId="0" applyFont="1" applyFill="1"/>
    <xf numFmtId="41" fontId="4" fillId="0" borderId="0" xfId="2" applyNumberFormat="1" applyFont="1" applyFill="1" applyBorder="1" applyAlignment="1">
      <alignment horizontal="center"/>
    </xf>
    <xf numFmtId="0" fontId="4" fillId="0" borderId="0" xfId="2" applyFont="1" applyFill="1" applyAlignment="1">
      <alignment horizontal="left"/>
    </xf>
    <xf numFmtId="41" fontId="4" fillId="0" borderId="0" xfId="2" applyNumberFormat="1" applyFont="1" applyFill="1" applyBorder="1" applyAlignment="1">
      <alignment horizontal="center" wrapText="1"/>
    </xf>
    <xf numFmtId="184" fontId="4" fillId="0" borderId="0" xfId="5" applyNumberFormat="1" applyFont="1" applyFill="1" applyBorder="1"/>
    <xf numFmtId="10" fontId="3" fillId="0" borderId="0" xfId="5" applyNumberFormat="1" applyFont="1" applyFill="1"/>
    <xf numFmtId="37" fontId="6" fillId="0" borderId="0" xfId="0" applyFont="1" applyFill="1" applyAlignment="1">
      <alignment horizontal="left"/>
    </xf>
    <xf numFmtId="37" fontId="6" fillId="2" borderId="0" xfId="0" applyFont="1" applyFill="1" applyProtection="1">
      <protection locked="0"/>
    </xf>
    <xf numFmtId="37" fontId="4" fillId="2" borderId="0" xfId="0" applyFont="1" applyFill="1" applyAlignment="1" applyProtection="1">
      <alignment horizontal="center"/>
    </xf>
    <xf numFmtId="37" fontId="4" fillId="2" borderId="0" xfId="0" applyFont="1" applyFill="1" applyAlignment="1">
      <alignment horizontal="center"/>
    </xf>
    <xf numFmtId="37" fontId="0" fillId="0" borderId="0" xfId="0" applyFill="1" applyAlignment="1">
      <alignment horizontal="right"/>
    </xf>
    <xf numFmtId="37" fontId="4" fillId="0" borderId="0" xfId="0" applyFont="1" applyFill="1" applyBorder="1" applyAlignment="1">
      <alignment horizontal="left"/>
    </xf>
    <xf numFmtId="10" fontId="6" fillId="4" borderId="0" xfId="5" applyNumberFormat="1" applyFont="1" applyFill="1" applyProtection="1">
      <protection locked="0"/>
    </xf>
    <xf numFmtId="0" fontId="25" fillId="3" borderId="0" xfId="2" applyFont="1" applyFill="1"/>
    <xf numFmtId="184" fontId="25" fillId="3" borderId="0" xfId="1" applyNumberFormat="1" applyFont="1" applyFill="1" applyBorder="1"/>
    <xf numFmtId="184" fontId="23" fillId="0" borderId="0" xfId="2" applyNumberFormat="1" applyFont="1" applyFill="1"/>
    <xf numFmtId="183" fontId="25" fillId="3" borderId="0" xfId="2" applyNumberFormat="1" applyFont="1" applyFill="1"/>
    <xf numFmtId="37" fontId="5" fillId="0" borderId="0" xfId="0" applyFont="1" applyFill="1" applyAlignment="1" applyProtection="1"/>
    <xf numFmtId="37" fontId="5" fillId="0" borderId="0" xfId="0" applyFont="1" applyFill="1" applyAlignment="1" applyProtection="1">
      <alignment horizontal="left"/>
    </xf>
    <xf numFmtId="37" fontId="4" fillId="0" borderId="16" xfId="0" applyFont="1" applyFill="1" applyBorder="1" applyAlignment="1" applyProtection="1">
      <alignment horizontal="center"/>
    </xf>
    <xf numFmtId="37" fontId="27" fillId="0" borderId="0" xfId="0" applyFont="1" applyFill="1"/>
    <xf numFmtId="37" fontId="4" fillId="0" borderId="0" xfId="0" quotePrefix="1" applyFont="1" applyFill="1"/>
    <xf numFmtId="37" fontId="0" fillId="0" borderId="23" xfId="0" applyFill="1" applyBorder="1" applyAlignment="1"/>
    <xf numFmtId="37" fontId="4" fillId="0" borderId="27" xfId="0" applyFont="1" applyFill="1" applyBorder="1" applyProtection="1"/>
    <xf numFmtId="37" fontId="4" fillId="5" borderId="0" xfId="0" quotePrefix="1" applyFont="1" applyFill="1" applyAlignment="1" applyProtection="1">
      <alignment horizontal="left"/>
    </xf>
    <xf numFmtId="37" fontId="4" fillId="5" borderId="0" xfId="0" applyFont="1" applyFill="1"/>
    <xf numFmtId="37" fontId="12" fillId="5" borderId="0" xfId="0" applyFont="1" applyFill="1" applyAlignment="1" applyProtection="1">
      <alignment horizontal="left"/>
    </xf>
    <xf numFmtId="37" fontId="29" fillId="0" borderId="0" xfId="0" applyFont="1" applyFill="1"/>
    <xf numFmtId="37" fontId="4" fillId="5" borderId="0" xfId="0" applyFont="1" applyFill="1" applyBorder="1"/>
    <xf numFmtId="37" fontId="4" fillId="6" borderId="0" xfId="0" applyFont="1" applyFill="1"/>
    <xf numFmtId="37" fontId="4" fillId="5" borderId="16" xfId="0" applyFont="1" applyFill="1" applyBorder="1"/>
    <xf numFmtId="37" fontId="4" fillId="5" borderId="0" xfId="0" applyFont="1" applyFill="1" applyAlignment="1">
      <alignment horizontal="center"/>
    </xf>
    <xf numFmtId="37" fontId="4" fillId="5" borderId="0" xfId="0" applyFont="1" applyFill="1" applyAlignment="1" applyProtection="1">
      <alignment horizontal="left"/>
    </xf>
    <xf numFmtId="37" fontId="0" fillId="5" borderId="0" xfId="0" applyFill="1"/>
    <xf numFmtId="37" fontId="0" fillId="5" borderId="16" xfId="0" applyFill="1" applyBorder="1"/>
    <xf numFmtId="37" fontId="4" fillId="5" borderId="0" xfId="0" applyFont="1" applyFill="1" applyAlignment="1">
      <alignment vertical="top"/>
    </xf>
    <xf numFmtId="37" fontId="4" fillId="5" borderId="0" xfId="0" quotePrefix="1" applyFont="1" applyFill="1" applyAlignment="1" applyProtection="1">
      <alignment horizontal="center"/>
    </xf>
    <xf numFmtId="37" fontId="29" fillId="5" borderId="0" xfId="0" applyFont="1" applyFill="1" applyAlignment="1" applyProtection="1">
      <alignment horizontal="left"/>
    </xf>
    <xf numFmtId="10" fontId="4" fillId="5" borderId="16" xfId="5" applyNumberFormat="1" applyFont="1" applyFill="1" applyBorder="1"/>
    <xf numFmtId="3" fontId="4" fillId="5" borderId="0" xfId="5" applyNumberFormat="1" applyFont="1" applyFill="1"/>
    <xf numFmtId="10" fontId="25" fillId="3" borderId="0" xfId="5" applyNumberFormat="1" applyFont="1" applyFill="1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37" fontId="0" fillId="0" borderId="0" xfId="0" applyAlignment="1">
      <alignment horizontal="center"/>
    </xf>
    <xf numFmtId="37" fontId="5" fillId="0" borderId="0" xfId="0" applyFont="1" applyFill="1" applyBorder="1" applyAlignment="1">
      <alignment horizontal="center"/>
    </xf>
    <xf numFmtId="37" fontId="4" fillId="0" borderId="16" xfId="0" applyFont="1" applyFill="1" applyBorder="1" applyAlignment="1">
      <alignment horizontal="center"/>
    </xf>
    <xf numFmtId="164" fontId="4" fillId="0" borderId="0" xfId="5" applyNumberFormat="1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Alignment="1">
      <alignment horizontal="center"/>
    </xf>
    <xf numFmtId="185" fontId="4" fillId="0" borderId="0" xfId="5" applyNumberFormat="1" applyFont="1" applyFill="1"/>
    <xf numFmtId="37" fontId="4" fillId="7" borderId="0" xfId="0" applyFont="1" applyFill="1"/>
    <xf numFmtId="184" fontId="25" fillId="3" borderId="6" xfId="1" applyNumberFormat="1" applyFont="1" applyFill="1" applyBorder="1"/>
    <xf numFmtId="184" fontId="23" fillId="0" borderId="6" xfId="2" applyNumberFormat="1" applyFont="1" applyFill="1" applyBorder="1"/>
    <xf numFmtId="10" fontId="4" fillId="0" borderId="0" xfId="5" applyNumberFormat="1" applyFont="1" applyAlignment="1">
      <alignment horizontal="right"/>
    </xf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37" fontId="4" fillId="0" borderId="0" xfId="0" applyFont="1"/>
    <xf numFmtId="174" fontId="4" fillId="0" borderId="0" xfId="0" applyNumberFormat="1" applyFont="1"/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10" fontId="4" fillId="0" borderId="0" xfId="5" applyNumberFormat="1" applyFont="1" applyAlignment="1">
      <alignment horizontal="right"/>
    </xf>
    <xf numFmtId="10" fontId="4" fillId="0" borderId="0" xfId="5" applyNumberFormat="1" applyFont="1"/>
    <xf numFmtId="37" fontId="0" fillId="0" borderId="0" xfId="0"/>
    <xf numFmtId="37" fontId="4" fillId="0" borderId="0" xfId="0" applyFont="1"/>
    <xf numFmtId="10" fontId="4" fillId="0" borderId="0" xfId="5" applyNumberFormat="1" applyFont="1"/>
    <xf numFmtId="37" fontId="4" fillId="0" borderId="0" xfId="0" applyFont="1"/>
    <xf numFmtId="174" fontId="4" fillId="0" borderId="0" xfId="0" applyNumberFormat="1" applyFont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37" fontId="4" fillId="0" borderId="0" xfId="0" applyFont="1"/>
    <xf numFmtId="10" fontId="4" fillId="0" borderId="0" xfId="7" applyNumberFormat="1" applyFont="1" applyProtection="1"/>
    <xf numFmtId="10" fontId="4" fillId="0" borderId="0" xfId="7" applyNumberFormat="1" applyFont="1" applyProtection="1"/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10" fontId="4" fillId="0" borderId="0" xfId="7" applyNumberFormat="1" applyFont="1" applyProtection="1"/>
    <xf numFmtId="37" fontId="4" fillId="0" borderId="0" xfId="0" applyFont="1" applyFill="1" applyAlignment="1">
      <alignment horizontal="center"/>
    </xf>
    <xf numFmtId="0" fontId="31" fillId="3" borderId="0" xfId="2" applyFont="1" applyFill="1"/>
    <xf numFmtId="184" fontId="31" fillId="3" borderId="0" xfId="1" applyNumberFormat="1" applyFont="1" applyFill="1" applyBorder="1"/>
    <xf numFmtId="184" fontId="32" fillId="0" borderId="0" xfId="2" applyNumberFormat="1" applyFont="1" applyFill="1"/>
    <xf numFmtId="184" fontId="31" fillId="3" borderId="0" xfId="2" applyNumberFormat="1" applyFont="1" applyFill="1"/>
    <xf numFmtId="184" fontId="31" fillId="3" borderId="0" xfId="1" applyNumberFormat="1" applyFont="1" applyFill="1"/>
    <xf numFmtId="10" fontId="33" fillId="0" borderId="0" xfId="7" applyNumberFormat="1" applyFont="1" applyProtection="1"/>
    <xf numFmtId="37" fontId="33" fillId="0" borderId="0" xfId="0" applyFont="1" applyFill="1"/>
    <xf numFmtId="37" fontId="33" fillId="0" borderId="0" xfId="3" applyFont="1" applyFill="1"/>
    <xf numFmtId="179" fontId="33" fillId="0" borderId="0" xfId="4" applyNumberFormat="1" applyFont="1" applyFill="1" applyAlignment="1" applyProtection="1">
      <alignment horizontal="right"/>
      <protection locked="0"/>
    </xf>
    <xf numFmtId="37" fontId="33" fillId="0" borderId="0" xfId="0" applyFont="1" applyFill="1" applyProtection="1"/>
    <xf numFmtId="10" fontId="33" fillId="0" borderId="0" xfId="5" applyNumberFormat="1" applyFont="1" applyFill="1"/>
    <xf numFmtId="37" fontId="33" fillId="0" borderId="0" xfId="0" quotePrefix="1" applyFont="1" applyFill="1" applyAlignment="1" applyProtection="1">
      <alignment horizontal="center"/>
    </xf>
    <xf numFmtId="37" fontId="30" fillId="0" borderId="0" xfId="0" applyFont="1" applyFill="1" applyAlignment="1" applyProtection="1">
      <alignment horizontal="left"/>
    </xf>
    <xf numFmtId="37" fontId="34" fillId="0" borderId="0" xfId="0" applyFont="1"/>
    <xf numFmtId="37" fontId="30" fillId="0" borderId="0" xfId="0" applyFont="1" applyFill="1"/>
    <xf numFmtId="37" fontId="34" fillId="0" borderId="0" xfId="0" applyFont="1" applyFill="1"/>
    <xf numFmtId="37" fontId="30" fillId="0" borderId="0" xfId="0" quotePrefix="1" applyFont="1" applyFill="1" applyAlignment="1" applyProtection="1">
      <alignment horizontal="right"/>
    </xf>
    <xf numFmtId="37" fontId="30" fillId="0" borderId="0" xfId="0" applyFont="1" applyFill="1" applyAlignment="1" applyProtection="1">
      <alignment horizontal="right"/>
    </xf>
    <xf numFmtId="37" fontId="30" fillId="0" borderId="0" xfId="0" applyFont="1" applyFill="1" applyBorder="1" applyProtection="1"/>
    <xf numFmtId="37" fontId="30" fillId="0" borderId="0" xfId="0" applyFont="1" applyFill="1" applyAlignment="1" applyProtection="1">
      <alignment horizontal="center"/>
    </xf>
    <xf numFmtId="37" fontId="30" fillId="0" borderId="11" xfId="0" applyFont="1" applyFill="1" applyBorder="1" applyAlignment="1" applyProtection="1">
      <alignment horizontal="centerContinuous"/>
    </xf>
    <xf numFmtId="37" fontId="30" fillId="0" borderId="12" xfId="0" applyFont="1" applyFill="1" applyBorder="1" applyAlignment="1">
      <alignment horizontal="centerContinuous"/>
    </xf>
    <xf numFmtId="37" fontId="30" fillId="0" borderId="18" xfId="0" applyFont="1" applyFill="1" applyBorder="1" applyAlignment="1" applyProtection="1">
      <alignment horizontal="center"/>
    </xf>
    <xf numFmtId="37" fontId="34" fillId="0" borderId="0" xfId="0" applyFont="1" applyFill="1" applyAlignment="1">
      <alignment horizontal="left"/>
    </xf>
    <xf numFmtId="37" fontId="30" fillId="0" borderId="17" xfId="0" applyFont="1" applyFill="1" applyBorder="1" applyAlignment="1" applyProtection="1">
      <alignment horizontal="center"/>
    </xf>
    <xf numFmtId="37" fontId="30" fillId="0" borderId="17" xfId="0" applyFont="1" applyFill="1" applyBorder="1" applyAlignment="1" applyProtection="1">
      <alignment horizontal="right"/>
    </xf>
    <xf numFmtId="37" fontId="30" fillId="0" borderId="19" xfId="0" quotePrefix="1" applyFont="1" applyFill="1" applyBorder="1" applyAlignment="1" applyProtection="1">
      <alignment horizontal="center"/>
    </xf>
    <xf numFmtId="37" fontId="30" fillId="0" borderId="19" xfId="0" applyFont="1" applyFill="1" applyBorder="1" applyAlignment="1" applyProtection="1">
      <alignment horizontal="center"/>
    </xf>
    <xf numFmtId="37" fontId="30" fillId="0" borderId="0" xfId="0" quotePrefix="1" applyFont="1" applyFill="1" applyAlignment="1" applyProtection="1">
      <alignment horizontal="center"/>
    </xf>
    <xf numFmtId="37" fontId="30" fillId="0" borderId="0" xfId="0" quotePrefix="1" applyFont="1" applyFill="1" applyAlignment="1" applyProtection="1">
      <alignment horizontal="left"/>
    </xf>
    <xf numFmtId="37" fontId="30" fillId="0" borderId="0" xfId="0" applyFont="1" applyFill="1" applyProtection="1"/>
    <xf numFmtId="10" fontId="30" fillId="0" borderId="0" xfId="5" applyNumberFormat="1" applyFont="1" applyFill="1"/>
    <xf numFmtId="37" fontId="30" fillId="0" borderId="0" xfId="0" applyFont="1" applyFill="1" applyAlignment="1">
      <alignment horizontal="left"/>
    </xf>
    <xf numFmtId="37" fontId="30" fillId="0" borderId="0" xfId="0" applyFont="1" applyFill="1" applyAlignment="1">
      <alignment horizontal="center"/>
    </xf>
    <xf numFmtId="168" fontId="30" fillId="0" borderId="0" xfId="0" applyNumberFormat="1" applyFont="1" applyFill="1" applyProtection="1"/>
    <xf numFmtId="37" fontId="30" fillId="0" borderId="0" xfId="0" applyFont="1" applyFill="1" applyAlignment="1" applyProtection="1">
      <alignment horizontal="center" wrapText="1"/>
    </xf>
    <xf numFmtId="37" fontId="30" fillId="0" borderId="0" xfId="0" quotePrefix="1" applyFont="1" applyFill="1" applyAlignment="1">
      <alignment horizontal="center"/>
    </xf>
    <xf numFmtId="37" fontId="30" fillId="0" borderId="0" xfId="0" quotePrefix="1" applyFont="1" applyFill="1" applyAlignment="1">
      <alignment horizontal="left"/>
    </xf>
    <xf numFmtId="37" fontId="30" fillId="0" borderId="16" xfId="0" applyFont="1" applyFill="1" applyBorder="1"/>
    <xf numFmtId="10" fontId="30" fillId="0" borderId="0" xfId="5" applyNumberFormat="1" applyFont="1" applyFill="1" applyAlignment="1">
      <alignment horizontal="center"/>
    </xf>
    <xf numFmtId="10" fontId="30" fillId="0" borderId="0" xfId="5" applyNumberFormat="1" applyFont="1" applyFill="1" applyAlignment="1" applyProtection="1">
      <alignment horizontal="center"/>
    </xf>
    <xf numFmtId="10" fontId="30" fillId="0" borderId="0" xfId="0" applyNumberFormat="1" applyFont="1" applyFill="1" applyAlignment="1" applyProtection="1">
      <alignment horizontal="center"/>
    </xf>
    <xf numFmtId="10" fontId="30" fillId="0" borderId="0" xfId="0" applyNumberFormat="1" applyFont="1" applyFill="1" applyProtection="1"/>
    <xf numFmtId="37" fontId="4" fillId="8" borderId="0" xfId="0" applyFont="1" applyFill="1" applyAlignment="1" applyProtection="1">
      <alignment horizontal="left"/>
    </xf>
    <xf numFmtId="174" fontId="4" fillId="9" borderId="0" xfId="0" applyNumberFormat="1" applyFont="1" applyFill="1" applyProtection="1">
      <protection locked="0"/>
    </xf>
    <xf numFmtId="37" fontId="6" fillId="8" borderId="0" xfId="0" applyFont="1" applyFill="1" applyProtection="1">
      <protection locked="0"/>
    </xf>
    <xf numFmtId="37" fontId="4" fillId="8" borderId="0" xfId="0" applyFont="1" applyFill="1"/>
    <xf numFmtId="37" fontId="4" fillId="8" borderId="0" xfId="0" quotePrefix="1" applyFont="1" applyFill="1" applyAlignment="1">
      <alignment horizontal="center"/>
    </xf>
    <xf numFmtId="37" fontId="4" fillId="8" borderId="0" xfId="0" applyFont="1" applyFill="1" applyAlignment="1">
      <alignment horizontal="center"/>
    </xf>
    <xf numFmtId="37" fontId="4" fillId="8" borderId="0" xfId="0" applyFont="1" applyFill="1" applyAlignment="1" applyProtection="1">
      <alignment horizontal="center"/>
    </xf>
    <xf numFmtId="37" fontId="4" fillId="0" borderId="6" xfId="0" applyFont="1" applyFill="1" applyBorder="1" applyProtection="1"/>
    <xf numFmtId="37" fontId="7" fillId="0" borderId="6" xfId="0" applyFont="1" applyFill="1" applyBorder="1" applyAlignment="1" applyProtection="1">
      <alignment horizontal="left"/>
    </xf>
    <xf numFmtId="37" fontId="27" fillId="0" borderId="16" xfId="0" quotePrefix="1" applyFont="1" applyFill="1" applyBorder="1" applyAlignment="1" applyProtection="1">
      <alignment horizontal="center"/>
    </xf>
    <xf numFmtId="37" fontId="28" fillId="0" borderId="16" xfId="0" applyFont="1" applyFill="1" applyBorder="1"/>
    <xf numFmtId="37" fontId="4" fillId="0" borderId="0" xfId="0" quotePrefix="1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center"/>
    </xf>
    <xf numFmtId="37" fontId="4" fillId="0" borderId="0" xfId="0" quotePrefix="1" applyFont="1" applyFill="1" applyAlignment="1" applyProtection="1">
      <alignment horizontal="center" vertical="center"/>
    </xf>
    <xf numFmtId="37" fontId="4" fillId="0" borderId="26" xfId="0" quotePrefix="1" applyFont="1" applyFill="1" applyBorder="1" applyAlignment="1" applyProtection="1">
      <alignment horizontal="center"/>
    </xf>
    <xf numFmtId="37" fontId="4" fillId="0" borderId="16" xfId="0" applyFont="1" applyFill="1" applyBorder="1" applyAlignment="1" applyProtection="1">
      <alignment horizontal="center"/>
    </xf>
    <xf numFmtId="171" fontId="4" fillId="0" borderId="0" xfId="0" applyNumberFormat="1" applyFont="1" applyFill="1" applyAlignment="1" applyProtection="1">
      <alignment horizontal="left" vertical="center"/>
    </xf>
    <xf numFmtId="37" fontId="0" fillId="0" borderId="0" xfId="0" applyFill="1" applyAlignment="1">
      <alignment horizontal="left" vertical="center"/>
    </xf>
    <xf numFmtId="37" fontId="4" fillId="0" borderId="16" xfId="0" quotePrefix="1" applyFont="1" applyFill="1" applyBorder="1" applyAlignment="1" applyProtection="1">
      <alignment horizontal="center"/>
    </xf>
    <xf numFmtId="37" fontId="4" fillId="0" borderId="0" xfId="0" applyFont="1" applyFill="1" applyBorder="1" applyAlignment="1" applyProtection="1">
      <alignment horizontal="center"/>
    </xf>
    <xf numFmtId="37" fontId="0" fillId="0" borderId="0" xfId="0" applyAlignment="1">
      <alignment horizontal="center"/>
    </xf>
    <xf numFmtId="37" fontId="4" fillId="0" borderId="0" xfId="0" applyFont="1" applyFill="1" applyAlignment="1">
      <alignment horizontal="center"/>
    </xf>
    <xf numFmtId="41" fontId="16" fillId="0" borderId="0" xfId="2" applyNumberFormat="1" applyFont="1" applyFill="1" applyBorder="1" applyAlignment="1">
      <alignment horizontal="center" wrapText="1"/>
    </xf>
    <xf numFmtId="41" fontId="4" fillId="0" borderId="0" xfId="2" applyNumberFormat="1" applyFont="1" applyFill="1" applyBorder="1" applyAlignment="1">
      <alignment horizontal="center"/>
    </xf>
  </cellXfs>
  <cellStyles count="13">
    <cellStyle name="Comma" xfId="1" builtinId="3"/>
    <cellStyle name="Comma 2" xfId="6"/>
    <cellStyle name="Currency 2" xfId="8"/>
    <cellStyle name="Normal" xfId="0" builtinId="0"/>
    <cellStyle name="Normal 2" xfId="9"/>
    <cellStyle name="Normal 3" xfId="10"/>
    <cellStyle name="Normal 36" xfId="11"/>
    <cellStyle name="Normal 4" xfId="12"/>
    <cellStyle name="Normal 5" xfId="7"/>
    <cellStyle name="Normal_ADITAnalysisID090805" xfId="2"/>
    <cellStyle name="Normal_EFFTAXRT" xfId="3"/>
    <cellStyle name="Normal_FN1 Ratebase Draft SPP template (6-11-04) v2" xfId="4"/>
    <cellStyle name="Percent" xfId="5" builtinId="5"/>
  </cellStyles>
  <dxfs count="1">
    <dxf>
      <font>
        <condense val="0"/>
        <extend val="0"/>
        <color indexed="17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04"/>
  <sheetViews>
    <sheetView view="pageBreakPreview" topLeftCell="A135" zoomScaleNormal="100" zoomScaleSheetLayoutView="100" workbookViewId="0">
      <selection activeCell="B12" sqref="B12"/>
    </sheetView>
  </sheetViews>
  <sheetFormatPr defaultColWidth="9" defaultRowHeight="12"/>
  <cols>
    <col min="1" max="1" width="12.625" style="3" customWidth="1"/>
    <col min="2" max="2" width="43.875" style="3" customWidth="1"/>
    <col min="3" max="3" width="14.625" style="3" customWidth="1"/>
    <col min="4" max="4" width="15.625" style="3" customWidth="1"/>
    <col min="5" max="5" width="30.625" style="3" customWidth="1"/>
    <col min="6" max="6" width="28.625" style="3" customWidth="1"/>
    <col min="7" max="7" width="3.625" style="3" customWidth="1"/>
    <col min="8" max="9" width="8.625" style="3" customWidth="1"/>
    <col min="10" max="16384" width="9" style="3"/>
  </cols>
  <sheetData>
    <row r="1" spans="1:12">
      <c r="B1" s="5" t="str">
        <f>Cname&amp;" Input Statement"</f>
        <v>Appalachian Power Company Input Statement</v>
      </c>
      <c r="D1" s="44"/>
      <c r="E1" s="44"/>
      <c r="F1" s="147"/>
      <c r="H1" s="3" t="s">
        <v>814</v>
      </c>
    </row>
    <row r="2" spans="1:12">
      <c r="B2" s="140" t="s">
        <v>1150</v>
      </c>
      <c r="D2" s="44"/>
      <c r="E2" s="148"/>
      <c r="F2" s="44"/>
    </row>
    <row r="3" spans="1:12">
      <c r="B3" s="199"/>
      <c r="C3" s="185" t="s">
        <v>815</v>
      </c>
      <c r="E3" s="329" t="s">
        <v>455</v>
      </c>
      <c r="F3" s="330"/>
      <c r="H3" s="230" t="s">
        <v>1149</v>
      </c>
      <c r="I3" s="230"/>
      <c r="J3" s="230"/>
      <c r="K3" s="230"/>
      <c r="L3" s="230"/>
    </row>
    <row r="4" spans="1:12" ht="12.75">
      <c r="C4" s="5" t="s">
        <v>204</v>
      </c>
      <c r="E4" s="327" t="s">
        <v>272</v>
      </c>
      <c r="F4" s="328"/>
      <c r="H4" s="230" t="s">
        <v>1135</v>
      </c>
      <c r="I4" s="230"/>
      <c r="J4" s="230"/>
      <c r="K4" s="230"/>
      <c r="L4" s="230"/>
    </row>
    <row r="5" spans="1:12">
      <c r="A5" s="6" t="s">
        <v>286</v>
      </c>
      <c r="B5" s="7" t="s">
        <v>287</v>
      </c>
      <c r="C5" s="7" t="s">
        <v>288</v>
      </c>
      <c r="D5" s="1"/>
      <c r="E5" s="33" t="s">
        <v>434</v>
      </c>
      <c r="F5" s="33" t="s">
        <v>435</v>
      </c>
      <c r="H5" s="94"/>
      <c r="I5" s="94"/>
    </row>
    <row r="6" spans="1:12">
      <c r="A6" s="8"/>
      <c r="B6" s="8"/>
      <c r="C6" s="27"/>
      <c r="D6" s="27"/>
    </row>
    <row r="7" spans="1:12">
      <c r="A7" s="2" t="s">
        <v>459</v>
      </c>
      <c r="B7" s="9" t="s">
        <v>234</v>
      </c>
      <c r="C7" s="10" t="s">
        <v>272</v>
      </c>
      <c r="D7" s="1"/>
      <c r="E7" s="25"/>
      <c r="F7" s="25"/>
      <c r="H7" s="71"/>
    </row>
    <row r="8" spans="1:12">
      <c r="A8" s="4" t="s">
        <v>460</v>
      </c>
      <c r="B8" s="4" t="s">
        <v>413</v>
      </c>
      <c r="C8" s="319">
        <v>5492.2</v>
      </c>
      <c r="D8" s="1"/>
      <c r="E8" s="19" t="s">
        <v>433</v>
      </c>
      <c r="F8" s="25" t="s">
        <v>1170</v>
      </c>
      <c r="H8" s="71"/>
    </row>
    <row r="9" spans="1:12">
      <c r="A9" s="2" t="s">
        <v>462</v>
      </c>
      <c r="B9" s="2" t="s">
        <v>289</v>
      </c>
      <c r="C9" s="11"/>
      <c r="E9" s="19"/>
      <c r="H9" s="71"/>
    </row>
    <row r="10" spans="1:12">
      <c r="A10" s="12"/>
      <c r="B10" s="2" t="s">
        <v>290</v>
      </c>
      <c r="C10" s="186">
        <v>6620880</v>
      </c>
      <c r="D10" s="187"/>
      <c r="E10" s="188" t="s">
        <v>702</v>
      </c>
      <c r="F10" s="188" t="s">
        <v>776</v>
      </c>
      <c r="H10" s="71"/>
    </row>
    <row r="11" spans="1:12">
      <c r="A11" s="12"/>
      <c r="B11" s="9" t="s">
        <v>423</v>
      </c>
      <c r="C11" s="10">
        <v>0</v>
      </c>
      <c r="D11" s="5" t="s">
        <v>595</v>
      </c>
      <c r="E11" s="25" t="s">
        <v>436</v>
      </c>
      <c r="F11" s="19" t="s">
        <v>1126</v>
      </c>
      <c r="H11" s="71"/>
    </row>
    <row r="12" spans="1:12">
      <c r="A12" s="2" t="s">
        <v>462</v>
      </c>
      <c r="B12" s="9" t="s">
        <v>782</v>
      </c>
      <c r="C12" s="10">
        <v>9347009.5800000001</v>
      </c>
      <c r="D12" s="5" t="s">
        <v>595</v>
      </c>
      <c r="E12" s="188" t="s">
        <v>702</v>
      </c>
      <c r="F12" s="19" t="s">
        <v>694</v>
      </c>
      <c r="H12" s="71"/>
    </row>
    <row r="13" spans="1:12">
      <c r="A13" s="2" t="s">
        <v>463</v>
      </c>
      <c r="B13" s="2" t="s">
        <v>291</v>
      </c>
      <c r="C13" s="11">
        <v>428415</v>
      </c>
      <c r="D13" s="1"/>
      <c r="E13" s="19" t="s">
        <v>679</v>
      </c>
      <c r="F13" s="19" t="s">
        <v>700</v>
      </c>
      <c r="H13" s="71"/>
    </row>
    <row r="14" spans="1:12">
      <c r="A14" s="12"/>
      <c r="B14" s="2" t="s">
        <v>292</v>
      </c>
      <c r="C14" s="11">
        <v>428415</v>
      </c>
      <c r="D14" s="1"/>
      <c r="E14" s="19" t="s">
        <v>679</v>
      </c>
      <c r="F14" s="19" t="s">
        <v>751</v>
      </c>
      <c r="H14" s="71"/>
    </row>
    <row r="15" spans="1:12">
      <c r="A15" s="12"/>
      <c r="B15" s="2" t="s">
        <v>293</v>
      </c>
      <c r="C15" s="11">
        <v>0</v>
      </c>
      <c r="D15" s="1"/>
      <c r="E15" s="19" t="s">
        <v>679</v>
      </c>
      <c r="F15" s="19" t="s">
        <v>752</v>
      </c>
      <c r="H15" s="71"/>
    </row>
    <row r="16" spans="1:12">
      <c r="A16" s="12"/>
      <c r="B16" s="2" t="s">
        <v>294</v>
      </c>
      <c r="C16" s="11">
        <v>0</v>
      </c>
      <c r="D16" s="1"/>
      <c r="E16" s="25" t="s">
        <v>437</v>
      </c>
      <c r="F16" s="25" t="s">
        <v>780</v>
      </c>
      <c r="H16" s="71" t="s">
        <v>839</v>
      </c>
    </row>
    <row r="17" spans="1:9">
      <c r="A17" s="12"/>
      <c r="B17" s="4" t="s">
        <v>424</v>
      </c>
      <c r="C17" s="11">
        <v>0</v>
      </c>
      <c r="D17" s="1"/>
      <c r="E17" s="25" t="s">
        <v>437</v>
      </c>
      <c r="F17" s="25" t="s">
        <v>781</v>
      </c>
      <c r="H17" s="71"/>
    </row>
    <row r="18" spans="1:9">
      <c r="A18" s="12"/>
      <c r="B18" s="4" t="s">
        <v>597</v>
      </c>
      <c r="C18" s="11">
        <v>14776510.670000002</v>
      </c>
      <c r="D18" s="1"/>
      <c r="E18" s="25" t="s">
        <v>663</v>
      </c>
      <c r="F18" s="19" t="s">
        <v>1133</v>
      </c>
      <c r="H18" s="71"/>
    </row>
    <row r="19" spans="1:9">
      <c r="A19" s="12"/>
      <c r="B19" s="4" t="s">
        <v>598</v>
      </c>
      <c r="C19" s="11">
        <v>0</v>
      </c>
      <c r="D19" s="1"/>
      <c r="E19" s="25" t="s">
        <v>663</v>
      </c>
      <c r="F19" s="19" t="s">
        <v>1134</v>
      </c>
      <c r="H19" s="71"/>
    </row>
    <row r="20" spans="1:9">
      <c r="A20" s="2" t="s">
        <v>464</v>
      </c>
      <c r="B20" s="2" t="s">
        <v>295</v>
      </c>
      <c r="C20" s="149">
        <v>14114381924.82</v>
      </c>
      <c r="D20" s="1"/>
      <c r="E20" s="25" t="s">
        <v>441</v>
      </c>
      <c r="F20" s="19" t="s">
        <v>946</v>
      </c>
      <c r="H20" s="71"/>
      <c r="I20" s="77"/>
    </row>
    <row r="21" spans="1:9">
      <c r="A21" s="12"/>
      <c r="B21" s="2" t="s">
        <v>296</v>
      </c>
      <c r="C21" s="11">
        <v>6372006715</v>
      </c>
      <c r="D21" s="1"/>
      <c r="E21" s="25" t="s">
        <v>441</v>
      </c>
      <c r="F21" s="19" t="s">
        <v>947</v>
      </c>
      <c r="G21" s="12"/>
      <c r="H21" s="71"/>
      <c r="I21" s="77"/>
    </row>
    <row r="22" spans="1:9">
      <c r="A22" s="12"/>
      <c r="B22" s="2" t="s">
        <v>297</v>
      </c>
      <c r="C22" s="13">
        <f>C21-C23</f>
        <v>6372006715</v>
      </c>
      <c r="D22" s="1"/>
      <c r="E22" s="19"/>
      <c r="G22" s="12"/>
      <c r="H22" s="71"/>
    </row>
    <row r="23" spans="1:9">
      <c r="A23" s="12"/>
      <c r="B23" s="2" t="s">
        <v>298</v>
      </c>
      <c r="C23" s="26">
        <v>0</v>
      </c>
      <c r="D23" s="1"/>
      <c r="E23" s="25"/>
      <c r="F23" s="25"/>
      <c r="H23" s="71"/>
    </row>
    <row r="24" spans="1:9">
      <c r="A24" s="12"/>
      <c r="B24" s="2" t="s">
        <v>299</v>
      </c>
      <c r="C24" s="11">
        <v>4684288145.71</v>
      </c>
      <c r="D24" s="1"/>
      <c r="E24" s="25" t="s">
        <v>487</v>
      </c>
      <c r="F24" s="19" t="s">
        <v>1167</v>
      </c>
      <c r="H24" s="71"/>
      <c r="I24" s="77"/>
    </row>
    <row r="25" spans="1:9">
      <c r="A25" s="12"/>
      <c r="B25" s="2" t="s">
        <v>300</v>
      </c>
      <c r="C25" s="11">
        <v>2426536831.5700002</v>
      </c>
      <c r="D25" s="1"/>
      <c r="E25" s="25" t="s">
        <v>487</v>
      </c>
      <c r="F25" s="19" t="s">
        <v>1168</v>
      </c>
      <c r="H25" s="71"/>
      <c r="I25" s="77"/>
    </row>
    <row r="26" spans="1:9">
      <c r="A26" s="12"/>
      <c r="B26" s="2" t="s">
        <v>529</v>
      </c>
      <c r="C26" s="11">
        <v>178811759.16000003</v>
      </c>
      <c r="D26" s="1"/>
      <c r="E26" s="25" t="s">
        <v>487</v>
      </c>
      <c r="F26" s="19" t="s">
        <v>1169</v>
      </c>
      <c r="H26" s="71"/>
      <c r="I26" s="77"/>
    </row>
    <row r="27" spans="1:9">
      <c r="A27" s="12"/>
      <c r="B27" s="2" t="s">
        <v>301</v>
      </c>
      <c r="C27" s="13">
        <f>-SUM(C29:C32) +SUM(C33:C52)</f>
        <v>2346175954.4800005</v>
      </c>
      <c r="D27" s="1"/>
      <c r="E27" s="19"/>
      <c r="F27" s="25"/>
      <c r="H27" s="71"/>
      <c r="I27" s="77"/>
    </row>
    <row r="28" spans="1:9">
      <c r="A28" s="4" t="s">
        <v>531</v>
      </c>
      <c r="B28" s="4" t="s">
        <v>681</v>
      </c>
      <c r="C28" s="1"/>
      <c r="D28" s="1"/>
      <c r="E28" s="1"/>
      <c r="F28" s="1"/>
      <c r="H28" s="1"/>
      <c r="I28" s="77"/>
    </row>
    <row r="29" spans="1:9">
      <c r="A29" s="12"/>
      <c r="B29" s="4" t="s">
        <v>684</v>
      </c>
      <c r="C29" s="320">
        <v>121234238.81999998</v>
      </c>
      <c r="D29" s="1"/>
      <c r="E29" s="19" t="s">
        <v>698</v>
      </c>
      <c r="F29" s="19" t="s">
        <v>1153</v>
      </c>
      <c r="H29" s="71"/>
      <c r="I29" s="77"/>
    </row>
    <row r="30" spans="1:9">
      <c r="A30" s="12"/>
      <c r="B30" s="4" t="s">
        <v>685</v>
      </c>
      <c r="C30" s="320">
        <v>7564026.2599999998</v>
      </c>
      <c r="D30" s="1"/>
      <c r="E30" s="19" t="s">
        <v>698</v>
      </c>
      <c r="F30" s="19" t="s">
        <v>1154</v>
      </c>
      <c r="H30" s="71"/>
      <c r="I30" s="77"/>
    </row>
    <row r="31" spans="1:9">
      <c r="A31" s="12"/>
      <c r="B31" s="4" t="s">
        <v>703</v>
      </c>
      <c r="C31" s="320">
        <v>52953208.990000002</v>
      </c>
      <c r="D31" s="1"/>
      <c r="E31" s="19" t="s">
        <v>698</v>
      </c>
      <c r="F31" s="19" t="s">
        <v>1155</v>
      </c>
      <c r="H31" s="71"/>
      <c r="I31" s="77"/>
    </row>
    <row r="32" spans="1:9">
      <c r="A32" s="12"/>
      <c r="B32" s="4" t="s">
        <v>686</v>
      </c>
      <c r="C32" s="320">
        <v>2015661.54</v>
      </c>
      <c r="D32" s="1"/>
      <c r="E32" s="19" t="s">
        <v>698</v>
      </c>
      <c r="F32" s="19" t="s">
        <v>1156</v>
      </c>
      <c r="H32" s="71" t="s">
        <v>272</v>
      </c>
      <c r="I32" s="77"/>
    </row>
    <row r="33" spans="1:9">
      <c r="A33" s="12"/>
      <c r="B33" s="4" t="s">
        <v>712</v>
      </c>
      <c r="C33" s="320"/>
      <c r="D33" s="1"/>
      <c r="E33" s="19"/>
      <c r="F33" s="25"/>
      <c r="H33" s="71"/>
      <c r="I33" s="77"/>
    </row>
    <row r="34" spans="1:9">
      <c r="A34" s="12"/>
      <c r="B34" s="4" t="s">
        <v>684</v>
      </c>
      <c r="C34" s="320">
        <v>0</v>
      </c>
      <c r="D34" s="1"/>
      <c r="E34" s="19" t="s">
        <v>680</v>
      </c>
      <c r="F34" s="228" t="s">
        <v>272</v>
      </c>
      <c r="H34" s="71"/>
      <c r="I34" s="77"/>
    </row>
    <row r="35" spans="1:9">
      <c r="A35" s="12"/>
      <c r="B35" s="4" t="s">
        <v>685</v>
      </c>
      <c r="C35" s="320">
        <v>0</v>
      </c>
      <c r="D35" s="1"/>
      <c r="E35" s="19" t="s">
        <v>680</v>
      </c>
      <c r="F35" s="25" t="s">
        <v>272</v>
      </c>
      <c r="H35" s="71"/>
      <c r="I35" s="77"/>
    </row>
    <row r="36" spans="1:9">
      <c r="A36" s="12"/>
      <c r="B36" s="4" t="s">
        <v>703</v>
      </c>
      <c r="C36" s="320">
        <v>267868298</v>
      </c>
      <c r="D36" s="1"/>
      <c r="E36" s="19" t="s">
        <v>680</v>
      </c>
      <c r="F36" s="19" t="s">
        <v>1152</v>
      </c>
      <c r="H36" s="71"/>
      <c r="I36" s="77"/>
    </row>
    <row r="37" spans="1:9">
      <c r="A37" s="12"/>
      <c r="B37" s="4" t="s">
        <v>686</v>
      </c>
      <c r="C37" s="320">
        <v>0</v>
      </c>
      <c r="D37" s="1"/>
      <c r="E37" s="19" t="s">
        <v>680</v>
      </c>
      <c r="F37" s="25"/>
      <c r="H37" s="71"/>
      <c r="I37" s="77"/>
    </row>
    <row r="38" spans="1:9">
      <c r="A38" s="12"/>
      <c r="B38" s="4" t="s">
        <v>682</v>
      </c>
      <c r="C38" s="324"/>
      <c r="D38" s="1"/>
      <c r="E38" s="1"/>
      <c r="F38" s="1"/>
      <c r="H38" s="1"/>
      <c r="I38" s="77"/>
    </row>
    <row r="39" spans="1:9">
      <c r="A39" s="12"/>
      <c r="B39" s="4" t="s">
        <v>684</v>
      </c>
      <c r="C39" s="320">
        <v>1282989403.8199999</v>
      </c>
      <c r="D39" s="1"/>
      <c r="E39" s="19" t="s">
        <v>680</v>
      </c>
      <c r="F39" s="19" t="s">
        <v>1157</v>
      </c>
      <c r="H39" s="71"/>
      <c r="I39" s="77"/>
    </row>
    <row r="40" spans="1:9">
      <c r="A40" s="12"/>
      <c r="B40" s="4" t="s">
        <v>685</v>
      </c>
      <c r="C40" s="320">
        <v>-2098.0199999999895</v>
      </c>
      <c r="D40" s="1"/>
      <c r="E40" s="19" t="s">
        <v>680</v>
      </c>
      <c r="F40" s="19" t="s">
        <v>1158</v>
      </c>
      <c r="H40" s="71"/>
      <c r="I40" s="77"/>
    </row>
    <row r="41" spans="1:9">
      <c r="A41" s="12"/>
      <c r="B41" s="4" t="s">
        <v>703</v>
      </c>
      <c r="C41" s="320">
        <v>730492280.88000011</v>
      </c>
      <c r="D41" s="1"/>
      <c r="E41" s="19" t="s">
        <v>680</v>
      </c>
      <c r="F41" s="19" t="s">
        <v>1159</v>
      </c>
      <c r="H41" s="71"/>
      <c r="I41" s="77"/>
    </row>
    <row r="42" spans="1:9">
      <c r="A42" s="12"/>
      <c r="B42" s="4" t="s">
        <v>686</v>
      </c>
      <c r="C42" s="320">
        <v>-39563.67</v>
      </c>
      <c r="D42" s="1"/>
      <c r="E42" s="19" t="s">
        <v>680</v>
      </c>
      <c r="F42" s="19" t="s">
        <v>1160</v>
      </c>
      <c r="H42" s="71"/>
      <c r="I42" s="77"/>
    </row>
    <row r="43" spans="1:9">
      <c r="A43" s="12"/>
      <c r="B43" s="4" t="s">
        <v>683</v>
      </c>
      <c r="C43" s="324"/>
      <c r="D43" s="1"/>
      <c r="E43" s="1"/>
      <c r="F43" s="1"/>
      <c r="H43" s="1"/>
      <c r="I43" s="77"/>
    </row>
    <row r="44" spans="1:9">
      <c r="A44" s="12"/>
      <c r="B44" s="4" t="s">
        <v>684</v>
      </c>
      <c r="C44" s="320">
        <v>38884390.300000004</v>
      </c>
      <c r="D44" s="1"/>
      <c r="E44" s="19" t="s">
        <v>680</v>
      </c>
      <c r="F44" s="19" t="s">
        <v>1161</v>
      </c>
      <c r="H44" s="71"/>
      <c r="I44" s="77"/>
    </row>
    <row r="45" spans="1:9">
      <c r="A45" s="12"/>
      <c r="B45" s="4" t="s">
        <v>685</v>
      </c>
      <c r="C45" s="320">
        <v>26811398.789999999</v>
      </c>
      <c r="D45" s="1"/>
      <c r="E45" s="19" t="s">
        <v>680</v>
      </c>
      <c r="F45" s="19" t="s">
        <v>1162</v>
      </c>
      <c r="H45" s="71"/>
      <c r="I45" s="77"/>
    </row>
    <row r="46" spans="1:9">
      <c r="A46" s="12"/>
      <c r="B46" s="4" t="s">
        <v>703</v>
      </c>
      <c r="C46" s="320">
        <v>160832427.38</v>
      </c>
      <c r="D46" s="1"/>
      <c r="E46" s="19" t="s">
        <v>680</v>
      </c>
      <c r="F46" s="19" t="s">
        <v>1163</v>
      </c>
      <c r="H46" s="71"/>
      <c r="I46" s="77"/>
    </row>
    <row r="47" spans="1:9">
      <c r="A47" s="12"/>
      <c r="B47" s="4" t="s">
        <v>686</v>
      </c>
      <c r="C47" s="320">
        <v>21126921.609999999</v>
      </c>
      <c r="D47" s="1"/>
      <c r="E47" s="19" t="s">
        <v>680</v>
      </c>
      <c r="F47" s="19" t="s">
        <v>1164</v>
      </c>
      <c r="H47" s="71"/>
      <c r="I47" s="77"/>
    </row>
    <row r="48" spans="1:9">
      <c r="A48" s="12"/>
      <c r="B48" s="4" t="s">
        <v>816</v>
      </c>
      <c r="C48" s="324"/>
      <c r="D48" s="1"/>
      <c r="E48" s="19"/>
      <c r="F48" s="25"/>
      <c r="H48" s="71"/>
      <c r="I48" s="77"/>
    </row>
    <row r="49" spans="1:9">
      <c r="A49" s="12"/>
      <c r="B49" s="4" t="s">
        <v>684</v>
      </c>
      <c r="C49" s="320">
        <v>16974</v>
      </c>
      <c r="D49" s="1"/>
      <c r="E49" s="19" t="s">
        <v>680</v>
      </c>
      <c r="F49" s="19" t="s">
        <v>1165</v>
      </c>
      <c r="H49" s="71"/>
      <c r="I49" s="77"/>
    </row>
    <row r="50" spans="1:9">
      <c r="A50" s="12"/>
      <c r="B50" s="4" t="s">
        <v>685</v>
      </c>
      <c r="C50" s="320">
        <v>0</v>
      </c>
      <c r="D50" s="1"/>
      <c r="E50" s="19" t="s">
        <v>680</v>
      </c>
      <c r="F50" s="25"/>
      <c r="H50" s="71"/>
      <c r="I50" s="77"/>
    </row>
    <row r="51" spans="1:9">
      <c r="A51" s="12"/>
      <c r="B51" s="4" t="s">
        <v>703</v>
      </c>
      <c r="C51" s="320">
        <v>962657</v>
      </c>
      <c r="D51" s="1"/>
      <c r="E51" s="19" t="s">
        <v>680</v>
      </c>
      <c r="F51" s="19" t="s">
        <v>1166</v>
      </c>
      <c r="H51" s="71"/>
      <c r="I51" s="77"/>
    </row>
    <row r="52" spans="1:9">
      <c r="A52" s="12"/>
      <c r="B52" s="4" t="s">
        <v>686</v>
      </c>
      <c r="C52" s="320">
        <v>0</v>
      </c>
      <c r="D52" s="1"/>
      <c r="E52" s="19" t="s">
        <v>680</v>
      </c>
      <c r="F52" s="25"/>
      <c r="H52" s="71"/>
      <c r="I52" s="77"/>
    </row>
    <row r="53" spans="1:9">
      <c r="A53" s="2" t="s">
        <v>466</v>
      </c>
      <c r="B53" s="1" t="s">
        <v>302</v>
      </c>
      <c r="C53" s="11"/>
      <c r="E53" s="19"/>
      <c r="H53" s="71"/>
    </row>
    <row r="54" spans="1:9">
      <c r="A54" s="12"/>
      <c r="B54" s="2" t="s">
        <v>1129</v>
      </c>
      <c r="C54" s="11">
        <v>15224416.549999999</v>
      </c>
      <c r="D54" s="1"/>
      <c r="E54" s="25" t="s">
        <v>442</v>
      </c>
      <c r="F54" s="25" t="s">
        <v>438</v>
      </c>
      <c r="H54" s="71"/>
    </row>
    <row r="55" spans="1:9">
      <c r="A55" s="12"/>
      <c r="B55" s="2"/>
      <c r="C55" s="11"/>
      <c r="D55" s="1"/>
      <c r="E55" s="25"/>
      <c r="F55" s="25"/>
      <c r="H55" s="71"/>
    </row>
    <row r="56" spans="1:9">
      <c r="A56" s="12"/>
      <c r="B56" s="2" t="s">
        <v>1130</v>
      </c>
      <c r="C56" s="11">
        <v>126098356.3</v>
      </c>
      <c r="D56" s="1"/>
      <c r="E56" s="25" t="s">
        <v>442</v>
      </c>
      <c r="F56" s="25" t="s">
        <v>528</v>
      </c>
      <c r="H56" s="71"/>
    </row>
    <row r="57" spans="1:9">
      <c r="A57" s="12"/>
      <c r="B57" s="2"/>
      <c r="C57" s="11"/>
      <c r="D57" s="1"/>
      <c r="E57" s="25"/>
      <c r="F57" s="25"/>
      <c r="H57" s="71"/>
    </row>
    <row r="58" spans="1:9">
      <c r="A58" s="12"/>
      <c r="B58" s="2" t="s">
        <v>1131</v>
      </c>
      <c r="C58" s="11">
        <v>8965595.0199999996</v>
      </c>
      <c r="D58" s="1"/>
      <c r="E58" s="25" t="s">
        <v>442</v>
      </c>
      <c r="F58" s="25" t="s">
        <v>488</v>
      </c>
      <c r="H58" s="71"/>
    </row>
    <row r="59" spans="1:9">
      <c r="A59" s="12"/>
      <c r="B59" s="2"/>
      <c r="C59" s="11"/>
      <c r="D59" s="1"/>
      <c r="E59" s="25"/>
      <c r="F59" s="25"/>
      <c r="H59" s="71"/>
    </row>
    <row r="60" spans="1:9">
      <c r="A60" s="12"/>
      <c r="B60" s="2" t="s">
        <v>1132</v>
      </c>
      <c r="C60" s="11">
        <v>8673.86</v>
      </c>
      <c r="D60" s="1"/>
      <c r="E60" s="25" t="s">
        <v>442</v>
      </c>
      <c r="F60" s="25" t="s">
        <v>486</v>
      </c>
      <c r="H60" s="71"/>
    </row>
    <row r="61" spans="1:9">
      <c r="A61" s="12"/>
      <c r="B61" s="2" t="s">
        <v>303</v>
      </c>
      <c r="C61" s="11">
        <v>1859246.62</v>
      </c>
      <c r="D61" s="1"/>
      <c r="E61" s="25" t="s">
        <v>442</v>
      </c>
      <c r="F61" s="25" t="s">
        <v>561</v>
      </c>
      <c r="H61" s="71"/>
    </row>
    <row r="62" spans="1:9">
      <c r="A62" s="12"/>
      <c r="B62" s="2" t="s">
        <v>304</v>
      </c>
      <c r="C62" s="11">
        <v>35090948.549999997</v>
      </c>
      <c r="D62" s="1"/>
      <c r="E62" s="25" t="s">
        <v>442</v>
      </c>
      <c r="F62" s="25" t="s">
        <v>753</v>
      </c>
      <c r="H62" s="71"/>
    </row>
    <row r="63" spans="1:9">
      <c r="A63" s="12"/>
      <c r="B63" s="2" t="s">
        <v>305</v>
      </c>
      <c r="C63" s="11">
        <v>3014130.69</v>
      </c>
      <c r="D63" s="1"/>
      <c r="E63" s="25" t="s">
        <v>442</v>
      </c>
      <c r="F63" s="25" t="s">
        <v>563</v>
      </c>
      <c r="H63" s="71"/>
    </row>
    <row r="64" spans="1:9">
      <c r="A64" s="12"/>
      <c r="B64" s="2" t="s">
        <v>306</v>
      </c>
      <c r="C64" s="11">
        <v>58810302.530000001</v>
      </c>
      <c r="D64" s="1"/>
      <c r="E64" s="25" t="s">
        <v>442</v>
      </c>
      <c r="F64" s="25" t="s">
        <v>489</v>
      </c>
      <c r="H64" s="71"/>
    </row>
    <row r="65" spans="1:9">
      <c r="A65" s="12"/>
      <c r="B65" s="2" t="s">
        <v>833</v>
      </c>
      <c r="C65" s="11">
        <v>7135642.1299999999</v>
      </c>
      <c r="D65" s="1"/>
      <c r="E65" s="25" t="s">
        <v>442</v>
      </c>
      <c r="F65" s="19" t="s">
        <v>1076</v>
      </c>
      <c r="H65" s="71"/>
    </row>
    <row r="66" spans="1:9">
      <c r="A66" s="12"/>
      <c r="B66" s="2" t="s">
        <v>817</v>
      </c>
      <c r="C66" s="11">
        <v>0</v>
      </c>
      <c r="D66" s="1"/>
      <c r="E66" s="25" t="s">
        <v>442</v>
      </c>
      <c r="F66" s="19" t="s">
        <v>1077</v>
      </c>
      <c r="H66" s="71"/>
    </row>
    <row r="67" spans="1:9">
      <c r="A67" s="12"/>
      <c r="B67" s="2" t="s">
        <v>689</v>
      </c>
      <c r="C67" s="11">
        <v>1204128.5600000024</v>
      </c>
      <c r="D67" s="1"/>
      <c r="E67" s="25" t="s">
        <v>442</v>
      </c>
      <c r="F67" s="25" t="s">
        <v>1127</v>
      </c>
      <c r="H67" s="71"/>
    </row>
    <row r="68" spans="1:9">
      <c r="A68" s="12"/>
      <c r="C68" s="11"/>
      <c r="E68" s="19"/>
      <c r="H68" s="71"/>
    </row>
    <row r="69" spans="1:9">
      <c r="A69" s="12"/>
      <c r="B69" s="2" t="s">
        <v>307</v>
      </c>
      <c r="C69" s="14">
        <f>SUM(C54:C67)</f>
        <v>257411440.81000003</v>
      </c>
      <c r="E69" s="19"/>
      <c r="H69" s="71"/>
    </row>
    <row r="70" spans="1:9">
      <c r="A70" s="12"/>
      <c r="E70" s="19"/>
      <c r="H70" s="71"/>
    </row>
    <row r="71" spans="1:9">
      <c r="A71" s="12"/>
      <c r="B71" s="318" t="s">
        <v>530</v>
      </c>
      <c r="C71" s="320">
        <v>182526693</v>
      </c>
      <c r="D71" s="321"/>
      <c r="E71" s="322" t="s">
        <v>441</v>
      </c>
      <c r="F71" s="323" t="s">
        <v>948</v>
      </c>
      <c r="H71" s="71"/>
      <c r="I71" s="77"/>
    </row>
    <row r="72" spans="1:9">
      <c r="A72" s="12"/>
      <c r="E72" s="19"/>
      <c r="H72" s="71"/>
    </row>
    <row r="73" spans="1:9">
      <c r="A73" s="12"/>
      <c r="B73" s="2" t="s">
        <v>227</v>
      </c>
      <c r="C73" s="11">
        <v>165601260</v>
      </c>
      <c r="D73" s="1"/>
      <c r="E73" s="25" t="s">
        <v>446</v>
      </c>
      <c r="F73" s="25" t="s">
        <v>564</v>
      </c>
      <c r="H73" s="71"/>
    </row>
    <row r="74" spans="1:9">
      <c r="A74" s="12"/>
      <c r="B74" s="2" t="s">
        <v>308</v>
      </c>
      <c r="C74" s="11">
        <v>85469217</v>
      </c>
      <c r="D74" s="1"/>
      <c r="E74" s="25" t="s">
        <v>447</v>
      </c>
      <c r="F74" s="19" t="s">
        <v>1136</v>
      </c>
      <c r="H74" s="71"/>
    </row>
    <row r="75" spans="1:9">
      <c r="A75" s="12"/>
      <c r="E75" s="19"/>
      <c r="H75" s="71"/>
    </row>
    <row r="76" spans="1:9">
      <c r="A76" s="12"/>
      <c r="B76" s="4" t="s">
        <v>649</v>
      </c>
      <c r="E76" s="19"/>
      <c r="H76" s="71"/>
    </row>
    <row r="77" spans="1:9">
      <c r="A77" s="12"/>
      <c r="B77" s="2" t="s">
        <v>650</v>
      </c>
      <c r="E77" s="19"/>
      <c r="H77" s="71"/>
    </row>
    <row r="78" spans="1:9">
      <c r="A78" s="12"/>
      <c r="B78" s="2" t="s">
        <v>309</v>
      </c>
      <c r="C78" s="150">
        <v>0.70585112530000005</v>
      </c>
      <c r="D78" s="1"/>
      <c r="E78" s="25" t="s">
        <v>447</v>
      </c>
      <c r="F78" s="19" t="s">
        <v>1137</v>
      </c>
      <c r="H78" s="71"/>
    </row>
    <row r="79" spans="1:9">
      <c r="A79" s="12"/>
      <c r="B79" s="2" t="s">
        <v>310</v>
      </c>
      <c r="C79" s="31">
        <f>1-C78</f>
        <v>0.29414887469999995</v>
      </c>
      <c r="D79" s="1"/>
      <c r="E79" s="19"/>
      <c r="H79" s="71"/>
    </row>
    <row r="80" spans="1:9">
      <c r="A80" s="2"/>
      <c r="E80" s="19"/>
      <c r="H80" s="71"/>
    </row>
    <row r="81" spans="1:8">
      <c r="A81" s="4" t="s">
        <v>467</v>
      </c>
      <c r="B81" s="2" t="s">
        <v>770</v>
      </c>
      <c r="C81" s="11">
        <v>57877393</v>
      </c>
      <c r="D81" s="1"/>
      <c r="E81" s="25" t="s">
        <v>439</v>
      </c>
      <c r="F81" s="25" t="s">
        <v>690</v>
      </c>
      <c r="H81" s="71"/>
    </row>
    <row r="82" spans="1:8">
      <c r="A82" s="12"/>
      <c r="B82" s="2" t="s">
        <v>23</v>
      </c>
      <c r="C82" s="13">
        <f>SUM(C83:C85)</f>
        <v>99717974</v>
      </c>
      <c r="E82" s="25"/>
      <c r="F82" s="19"/>
      <c r="H82" s="71"/>
    </row>
    <row r="83" spans="1:8">
      <c r="A83" s="12"/>
      <c r="B83" s="2" t="s">
        <v>312</v>
      </c>
      <c r="C83" s="11">
        <v>72448059</v>
      </c>
      <c r="D83" s="1"/>
      <c r="E83" s="25" t="s">
        <v>440</v>
      </c>
      <c r="F83" s="19" t="s">
        <v>867</v>
      </c>
      <c r="H83" s="71"/>
    </row>
    <row r="84" spans="1:8">
      <c r="A84" s="12"/>
      <c r="B84" s="2" t="s">
        <v>313</v>
      </c>
      <c r="C84" s="11">
        <v>12132495</v>
      </c>
      <c r="D84" s="1"/>
      <c r="E84" s="25" t="s">
        <v>440</v>
      </c>
      <c r="F84" s="19" t="s">
        <v>868</v>
      </c>
      <c r="H84" s="71"/>
    </row>
    <row r="85" spans="1:8">
      <c r="A85" s="12"/>
      <c r="B85" s="2" t="s">
        <v>314</v>
      </c>
      <c r="C85" s="11">
        <v>15137420</v>
      </c>
      <c r="D85" s="1"/>
      <c r="E85" s="25" t="s">
        <v>440</v>
      </c>
      <c r="F85" s="19" t="s">
        <v>830</v>
      </c>
      <c r="H85" s="71"/>
    </row>
    <row r="86" spans="1:8">
      <c r="A86" s="12"/>
      <c r="B86" s="2" t="s">
        <v>767</v>
      </c>
      <c r="C86" s="11">
        <v>22718139.260000002</v>
      </c>
      <c r="D86" s="1"/>
      <c r="E86" s="25" t="s">
        <v>440</v>
      </c>
      <c r="F86" s="19" t="s">
        <v>562</v>
      </c>
      <c r="H86" s="71"/>
    </row>
    <row r="87" spans="1:8">
      <c r="A87" s="12"/>
      <c r="B87" s="2" t="s">
        <v>771</v>
      </c>
      <c r="C87" s="11">
        <v>0</v>
      </c>
      <c r="D87" s="1"/>
      <c r="E87" s="25" t="s">
        <v>439</v>
      </c>
      <c r="F87" s="19" t="s">
        <v>769</v>
      </c>
      <c r="H87" s="71"/>
    </row>
    <row r="88" spans="1:8">
      <c r="A88" s="12"/>
      <c r="B88" s="3" t="s">
        <v>772</v>
      </c>
      <c r="C88" s="11">
        <v>3391777</v>
      </c>
      <c r="D88" s="1"/>
      <c r="E88" s="25" t="s">
        <v>439</v>
      </c>
      <c r="F88" s="19" t="s">
        <v>5</v>
      </c>
      <c r="H88" s="71"/>
    </row>
    <row r="89" spans="1:8">
      <c r="A89" s="12"/>
      <c r="C89" s="11"/>
      <c r="E89" s="19"/>
      <c r="H89" s="71"/>
    </row>
    <row r="90" spans="1:8">
      <c r="A90" s="2" t="s">
        <v>468</v>
      </c>
      <c r="B90" s="2" t="s">
        <v>315</v>
      </c>
      <c r="C90" s="11"/>
      <c r="E90" s="19"/>
      <c r="H90" s="71"/>
    </row>
    <row r="91" spans="1:8">
      <c r="A91" s="12"/>
      <c r="C91" s="11"/>
      <c r="E91" s="19"/>
      <c r="H91" s="71"/>
    </row>
    <row r="92" spans="1:8">
      <c r="A92" s="12"/>
      <c r="B92" s="2" t="s">
        <v>316</v>
      </c>
      <c r="C92" s="11">
        <v>40186636.140000001</v>
      </c>
      <c r="D92" s="1"/>
      <c r="E92" s="25" t="s">
        <v>448</v>
      </c>
      <c r="F92" s="25" t="s">
        <v>1104</v>
      </c>
      <c r="H92" s="71"/>
    </row>
    <row r="93" spans="1:8">
      <c r="A93" s="12"/>
      <c r="B93" s="2" t="s">
        <v>317</v>
      </c>
      <c r="C93" s="11">
        <v>13542215.75</v>
      </c>
      <c r="D93" s="1"/>
      <c r="E93" s="25" t="s">
        <v>448</v>
      </c>
      <c r="F93" s="25" t="s">
        <v>866</v>
      </c>
      <c r="H93" s="71"/>
    </row>
    <row r="94" spans="1:8">
      <c r="A94" s="12"/>
      <c r="B94" s="2" t="s">
        <v>318</v>
      </c>
      <c r="C94" s="11">
        <v>5403813.1599999983</v>
      </c>
      <c r="D94" s="1"/>
      <c r="E94" s="25" t="s">
        <v>448</v>
      </c>
      <c r="F94" s="25" t="s">
        <v>1105</v>
      </c>
      <c r="H94" s="71"/>
    </row>
    <row r="95" spans="1:8">
      <c r="A95" s="12"/>
      <c r="B95" s="2" t="s">
        <v>319</v>
      </c>
      <c r="C95" s="11">
        <v>5765303.0599999996</v>
      </c>
      <c r="D95" s="1"/>
      <c r="E95" s="25" t="s">
        <v>448</v>
      </c>
      <c r="F95" s="25" t="s">
        <v>1128</v>
      </c>
      <c r="H95" s="71"/>
    </row>
    <row r="96" spans="1:8">
      <c r="A96" s="12"/>
      <c r="B96" s="2" t="s">
        <v>320</v>
      </c>
      <c r="C96" s="11">
        <v>11924616.27</v>
      </c>
      <c r="D96" s="1"/>
      <c r="E96" s="25" t="s">
        <v>448</v>
      </c>
      <c r="F96" s="25" t="s">
        <v>1106</v>
      </c>
      <c r="H96" s="71"/>
    </row>
    <row r="97" spans="1:8">
      <c r="A97" s="12"/>
      <c r="B97" s="2" t="s">
        <v>321</v>
      </c>
      <c r="C97" s="11">
        <v>0</v>
      </c>
      <c r="D97" s="1"/>
      <c r="E97" s="25" t="s">
        <v>448</v>
      </c>
      <c r="F97" s="25" t="s">
        <v>1107</v>
      </c>
      <c r="H97" s="71"/>
    </row>
    <row r="98" spans="1:8">
      <c r="A98" s="12"/>
      <c r="B98" s="2" t="s">
        <v>323</v>
      </c>
      <c r="C98" s="11">
        <v>-134581</v>
      </c>
      <c r="D98" s="1"/>
      <c r="E98" s="25" t="s">
        <v>448</v>
      </c>
      <c r="F98" s="25" t="s">
        <v>1108</v>
      </c>
      <c r="H98" s="71"/>
    </row>
    <row r="99" spans="1:8">
      <c r="A99" s="12"/>
      <c r="B99" s="2" t="s">
        <v>420</v>
      </c>
      <c r="C99" s="11">
        <v>6761142.0499999998</v>
      </c>
      <c r="D99" s="1"/>
      <c r="E99" s="25" t="s">
        <v>448</v>
      </c>
      <c r="F99" s="25" t="s">
        <v>1109</v>
      </c>
      <c r="H99" s="71"/>
    </row>
    <row r="100" spans="1:8">
      <c r="A100" s="12"/>
      <c r="B100" s="2" t="s">
        <v>418</v>
      </c>
      <c r="C100" s="11">
        <v>815338.41</v>
      </c>
      <c r="D100" s="1"/>
      <c r="E100" s="25" t="s">
        <v>448</v>
      </c>
      <c r="F100" s="25" t="s">
        <v>1110</v>
      </c>
      <c r="H100" s="71"/>
    </row>
    <row r="101" spans="1:8">
      <c r="A101" s="12"/>
      <c r="B101" s="2" t="s">
        <v>419</v>
      </c>
      <c r="C101" s="11">
        <v>789604</v>
      </c>
      <c r="D101" s="1"/>
      <c r="E101" s="25" t="s">
        <v>448</v>
      </c>
      <c r="F101" s="25" t="s">
        <v>1111</v>
      </c>
      <c r="H101" s="71"/>
    </row>
    <row r="102" spans="1:8">
      <c r="A102" s="12"/>
      <c r="B102" s="2" t="s">
        <v>324</v>
      </c>
      <c r="C102" s="11">
        <v>-4852437.9000000004</v>
      </c>
      <c r="D102" s="1"/>
      <c r="E102" s="25" t="s">
        <v>448</v>
      </c>
      <c r="F102" s="25" t="s">
        <v>1112</v>
      </c>
      <c r="H102" s="71"/>
    </row>
    <row r="103" spans="1:8">
      <c r="A103" s="12"/>
      <c r="B103" s="2" t="s">
        <v>325</v>
      </c>
      <c r="C103" s="11">
        <v>3492687.92</v>
      </c>
      <c r="D103" s="1"/>
      <c r="E103" s="25" t="s">
        <v>448</v>
      </c>
      <c r="F103" s="25" t="s">
        <v>1113</v>
      </c>
      <c r="H103" s="71"/>
    </row>
    <row r="104" spans="1:8">
      <c r="A104" s="12"/>
      <c r="B104" s="2" t="s">
        <v>326</v>
      </c>
      <c r="C104" s="11">
        <v>5156865.59</v>
      </c>
      <c r="D104" s="1"/>
      <c r="E104" s="25" t="s">
        <v>448</v>
      </c>
      <c r="F104" s="25" t="s">
        <v>1114</v>
      </c>
      <c r="H104" s="71"/>
    </row>
    <row r="105" spans="1:8">
      <c r="A105" s="12"/>
      <c r="B105" s="2" t="s">
        <v>327</v>
      </c>
      <c r="C105" s="11">
        <v>4081</v>
      </c>
      <c r="D105" s="227"/>
      <c r="E105" s="25" t="s">
        <v>754</v>
      </c>
      <c r="F105" s="228" t="s">
        <v>1146</v>
      </c>
      <c r="H105" s="71"/>
    </row>
    <row r="106" spans="1:8">
      <c r="A106" s="12"/>
      <c r="B106" s="2" t="s">
        <v>328</v>
      </c>
      <c r="C106" s="11">
        <v>1255664.01</v>
      </c>
      <c r="D106" s="227"/>
      <c r="E106" s="25" t="s">
        <v>448</v>
      </c>
      <c r="F106" s="25" t="s">
        <v>1115</v>
      </c>
      <c r="H106" s="71"/>
    </row>
    <row r="107" spans="1:8">
      <c r="A107" s="12"/>
      <c r="B107" s="2" t="s">
        <v>329</v>
      </c>
      <c r="C107" s="11">
        <v>11917544.539999999</v>
      </c>
      <c r="D107" s="1"/>
      <c r="E107" s="25" t="s">
        <v>448</v>
      </c>
      <c r="F107" s="25" t="s">
        <v>1116</v>
      </c>
      <c r="H107" s="71"/>
    </row>
    <row r="108" spans="1:8">
      <c r="A108" s="12"/>
      <c r="E108" s="19"/>
      <c r="H108" s="71"/>
    </row>
    <row r="109" spans="1:8">
      <c r="A109" s="2" t="s">
        <v>469</v>
      </c>
      <c r="B109" s="318" t="s">
        <v>330</v>
      </c>
      <c r="C109" s="11">
        <v>4014658933.6599998</v>
      </c>
      <c r="D109" s="2"/>
      <c r="E109" s="25" t="s">
        <v>490</v>
      </c>
      <c r="F109" s="25" t="s">
        <v>1117</v>
      </c>
      <c r="H109" s="71"/>
    </row>
    <row r="110" spans="1:8">
      <c r="A110" s="2"/>
      <c r="B110" s="2" t="s">
        <v>620</v>
      </c>
      <c r="C110" s="11">
        <v>274760610</v>
      </c>
      <c r="D110" s="2"/>
      <c r="E110" s="25" t="s">
        <v>567</v>
      </c>
      <c r="F110" s="19" t="s">
        <v>828</v>
      </c>
      <c r="H110" s="71"/>
    </row>
    <row r="111" spans="1:8">
      <c r="A111" s="2"/>
      <c r="B111" s="2" t="s">
        <v>622</v>
      </c>
      <c r="C111" s="11">
        <v>0</v>
      </c>
      <c r="D111" s="2"/>
      <c r="E111" s="25" t="s">
        <v>567</v>
      </c>
      <c r="F111" s="19" t="s">
        <v>829</v>
      </c>
      <c r="H111" s="71"/>
    </row>
    <row r="112" spans="1:8">
      <c r="A112" s="2"/>
      <c r="B112" s="2" t="s">
        <v>624</v>
      </c>
      <c r="C112" s="11">
        <v>0</v>
      </c>
      <c r="D112" s="2"/>
      <c r="E112" s="25" t="s">
        <v>567</v>
      </c>
      <c r="F112" s="19" t="s">
        <v>699</v>
      </c>
      <c r="H112" s="71"/>
    </row>
    <row r="113" spans="1:8">
      <c r="A113" s="2"/>
      <c r="B113" s="2" t="s">
        <v>626</v>
      </c>
      <c r="C113" s="11">
        <v>3820635244</v>
      </c>
      <c r="D113" s="2"/>
      <c r="E113" s="25" t="s">
        <v>567</v>
      </c>
      <c r="F113" s="19" t="s">
        <v>830</v>
      </c>
      <c r="H113" s="71"/>
    </row>
    <row r="114" spans="1:8">
      <c r="A114" s="2"/>
      <c r="B114" s="2"/>
      <c r="C114" s="11"/>
      <c r="D114" s="2"/>
      <c r="E114" s="25"/>
      <c r="F114" s="25"/>
      <c r="H114" s="71"/>
    </row>
    <row r="115" spans="1:8">
      <c r="A115" s="12"/>
      <c r="C115" s="11"/>
      <c r="E115" s="19"/>
      <c r="H115" s="71"/>
    </row>
    <row r="116" spans="1:8">
      <c r="A116" s="2" t="s">
        <v>470</v>
      </c>
      <c r="B116" s="2" t="s">
        <v>114</v>
      </c>
      <c r="C116" s="11">
        <v>4095395854</v>
      </c>
      <c r="D116" s="1"/>
      <c r="E116" s="25" t="s">
        <v>567</v>
      </c>
      <c r="F116" s="25" t="s">
        <v>691</v>
      </c>
      <c r="H116" s="71"/>
    </row>
    <row r="117" spans="1:8">
      <c r="A117" s="12"/>
      <c r="B117" s="2" t="s">
        <v>331</v>
      </c>
      <c r="C117" s="11">
        <v>185758244.73999998</v>
      </c>
      <c r="D117" s="1"/>
      <c r="E117" s="25" t="s">
        <v>567</v>
      </c>
      <c r="F117" s="25" t="s">
        <v>692</v>
      </c>
      <c r="H117" s="71"/>
    </row>
    <row r="118" spans="1:8" ht="12.75">
      <c r="A118" s="12"/>
      <c r="B118" s="196" t="s">
        <v>831</v>
      </c>
      <c r="C118" s="11">
        <v>3440688.71</v>
      </c>
      <c r="D118" s="1"/>
      <c r="E118" s="25" t="s">
        <v>567</v>
      </c>
      <c r="F118" s="19" t="s">
        <v>1121</v>
      </c>
      <c r="H118" s="71"/>
    </row>
    <row r="119" spans="1:8" ht="12.75">
      <c r="A119" s="12"/>
      <c r="B119" s="197" t="s">
        <v>832</v>
      </c>
      <c r="C119" s="11">
        <v>3936995</v>
      </c>
      <c r="D119" s="1"/>
      <c r="E119" s="25" t="s">
        <v>567</v>
      </c>
      <c r="F119" s="19" t="s">
        <v>1122</v>
      </c>
      <c r="H119" s="71"/>
    </row>
    <row r="120" spans="1:8">
      <c r="A120" s="12"/>
      <c r="B120" s="2" t="s">
        <v>332</v>
      </c>
      <c r="C120" s="11">
        <v>0</v>
      </c>
      <c r="D120" s="226"/>
      <c r="E120" s="25" t="s">
        <v>567</v>
      </c>
      <c r="F120" s="228" t="s">
        <v>1124</v>
      </c>
      <c r="H120" s="71"/>
    </row>
    <row r="121" spans="1:8">
      <c r="A121" s="12"/>
      <c r="B121" s="2" t="s">
        <v>1123</v>
      </c>
      <c r="C121" s="11">
        <v>0</v>
      </c>
      <c r="D121" s="1"/>
      <c r="E121" s="25" t="s">
        <v>567</v>
      </c>
      <c r="F121" s="228" t="s">
        <v>1125</v>
      </c>
      <c r="H121" s="71"/>
    </row>
    <row r="122" spans="1:8">
      <c r="A122" s="12"/>
      <c r="C122" s="11"/>
      <c r="E122" s="19"/>
      <c r="H122" s="71"/>
    </row>
    <row r="123" spans="1:8">
      <c r="A123" s="2" t="s">
        <v>471</v>
      </c>
      <c r="B123" s="2" t="s">
        <v>333</v>
      </c>
      <c r="C123" s="11">
        <v>0</v>
      </c>
      <c r="D123" s="1"/>
      <c r="E123" s="25" t="s">
        <v>491</v>
      </c>
      <c r="F123" s="25" t="s">
        <v>589</v>
      </c>
      <c r="H123" s="71"/>
    </row>
    <row r="124" spans="1:8">
      <c r="A124" s="12"/>
      <c r="B124" s="2" t="s">
        <v>334</v>
      </c>
      <c r="C124" s="11">
        <v>0</v>
      </c>
      <c r="D124" s="1"/>
      <c r="E124" s="25" t="s">
        <v>491</v>
      </c>
      <c r="F124" s="25" t="s">
        <v>693</v>
      </c>
      <c r="H124" s="71"/>
    </row>
    <row r="125" spans="1:8">
      <c r="A125" s="12"/>
      <c r="B125" s="2" t="s">
        <v>335</v>
      </c>
      <c r="C125" s="11">
        <v>0</v>
      </c>
      <c r="D125" s="1"/>
      <c r="E125" s="25" t="s">
        <v>491</v>
      </c>
      <c r="F125" s="25" t="s">
        <v>694</v>
      </c>
      <c r="H125" s="71"/>
    </row>
    <row r="126" spans="1:8">
      <c r="A126" s="12"/>
      <c r="B126" s="2"/>
      <c r="C126" s="11"/>
      <c r="D126" s="1"/>
      <c r="E126" s="25"/>
      <c r="F126" s="25"/>
      <c r="H126" s="71"/>
    </row>
    <row r="127" spans="1:8">
      <c r="A127" s="2" t="s">
        <v>615</v>
      </c>
      <c r="B127" s="3" t="s">
        <v>610</v>
      </c>
      <c r="C127" s="11"/>
      <c r="D127" s="1"/>
      <c r="E127" s="19"/>
      <c r="F127" s="25"/>
      <c r="H127" s="71"/>
    </row>
    <row r="128" spans="1:8">
      <c r="A128" s="12"/>
      <c r="B128" s="14" t="s">
        <v>612</v>
      </c>
      <c r="C128" s="11">
        <v>0</v>
      </c>
      <c r="D128" s="1"/>
      <c r="E128" s="25" t="s">
        <v>490</v>
      </c>
      <c r="F128" s="19" t="s">
        <v>1063</v>
      </c>
      <c r="H128" s="71"/>
    </row>
    <row r="129" spans="1:9">
      <c r="A129" s="12"/>
      <c r="B129" s="3" t="s">
        <v>613</v>
      </c>
      <c r="C129" s="11">
        <v>-3463213</v>
      </c>
      <c r="D129" s="1"/>
      <c r="E129" s="25" t="s">
        <v>490</v>
      </c>
      <c r="F129" s="19" t="s">
        <v>1064</v>
      </c>
      <c r="H129" s="71"/>
    </row>
    <row r="130" spans="1:9">
      <c r="A130" s="12"/>
      <c r="B130" s="14" t="s">
        <v>614</v>
      </c>
      <c r="C130" s="11">
        <v>-4942664.5999999987</v>
      </c>
      <c r="D130" s="1"/>
      <c r="E130" s="25" t="s">
        <v>490</v>
      </c>
      <c r="F130" s="19" t="s">
        <v>868</v>
      </c>
      <c r="H130" s="71"/>
    </row>
    <row r="131" spans="1:9">
      <c r="A131" s="12"/>
      <c r="B131" s="3" t="s">
        <v>610</v>
      </c>
      <c r="C131" s="11">
        <v>4006253056.0599999</v>
      </c>
      <c r="E131" s="25" t="s">
        <v>490</v>
      </c>
      <c r="F131" s="19" t="s">
        <v>452</v>
      </c>
      <c r="H131" s="71"/>
    </row>
    <row r="132" spans="1:9">
      <c r="A132" s="12"/>
      <c r="B132" s="2"/>
      <c r="C132" s="11"/>
      <c r="D132" s="1"/>
      <c r="E132" s="25"/>
      <c r="F132" s="25"/>
      <c r="H132" s="71"/>
    </row>
    <row r="133" spans="1:9">
      <c r="A133" s="2"/>
      <c r="C133" s="11"/>
      <c r="E133" s="19"/>
      <c r="H133" s="71"/>
    </row>
    <row r="134" spans="1:9">
      <c r="A134" s="4" t="s">
        <v>472</v>
      </c>
      <c r="B134" s="2" t="s">
        <v>336</v>
      </c>
      <c r="C134" s="11">
        <v>22584919</v>
      </c>
      <c r="D134" s="1"/>
      <c r="E134" s="19" t="s">
        <v>483</v>
      </c>
      <c r="F134" s="19" t="s">
        <v>528</v>
      </c>
      <c r="H134" s="71"/>
    </row>
    <row r="135" spans="1:9">
      <c r="A135" s="12"/>
      <c r="B135" s="2" t="s">
        <v>337</v>
      </c>
      <c r="C135" s="11">
        <v>0</v>
      </c>
      <c r="D135" s="1"/>
      <c r="E135" s="19"/>
      <c r="F135" s="25"/>
      <c r="H135" s="71"/>
    </row>
    <row r="136" spans="1:9">
      <c r="A136" s="12"/>
      <c r="B136" s="2" t="s">
        <v>338</v>
      </c>
      <c r="C136" s="11">
        <v>-1339701</v>
      </c>
      <c r="D136" s="1"/>
      <c r="E136" s="19" t="s">
        <v>483</v>
      </c>
      <c r="F136" s="19" t="s">
        <v>562</v>
      </c>
      <c r="H136" s="71"/>
    </row>
    <row r="137" spans="1:9">
      <c r="A137" s="12"/>
      <c r="B137" s="2" t="s">
        <v>339</v>
      </c>
      <c r="C137" s="11">
        <v>7230292.5300000003</v>
      </c>
      <c r="D137" s="1"/>
      <c r="E137" s="25" t="s">
        <v>448</v>
      </c>
      <c r="F137" s="25" t="s">
        <v>818</v>
      </c>
      <c r="H137" s="71"/>
    </row>
    <row r="138" spans="1:9">
      <c r="A138" s="12"/>
      <c r="B138" s="2" t="s">
        <v>340</v>
      </c>
      <c r="C138" s="11">
        <v>17685323.740000002</v>
      </c>
      <c r="D138" s="1"/>
      <c r="E138" s="25" t="s">
        <v>448</v>
      </c>
      <c r="F138" s="25" t="s">
        <v>1118</v>
      </c>
      <c r="H138" s="71"/>
    </row>
    <row r="139" spans="1:9">
      <c r="A139" s="12"/>
      <c r="B139" s="2" t="s">
        <v>657</v>
      </c>
      <c r="C139" s="11"/>
      <c r="E139" s="19"/>
      <c r="H139" s="71"/>
    </row>
    <row r="140" spans="1:9">
      <c r="A140" s="12"/>
      <c r="B140" s="2" t="s">
        <v>341</v>
      </c>
      <c r="C140" s="11">
        <v>224342801.16999999</v>
      </c>
      <c r="D140" s="1"/>
      <c r="E140" s="25" t="s">
        <v>449</v>
      </c>
      <c r="F140" s="19" t="s">
        <v>824</v>
      </c>
      <c r="H140" s="71"/>
    </row>
    <row r="141" spans="1:9">
      <c r="A141" s="12"/>
      <c r="B141" s="2" t="s">
        <v>309</v>
      </c>
      <c r="C141" s="11">
        <v>144014134.19999999</v>
      </c>
      <c r="D141" s="1"/>
      <c r="E141" s="25" t="s">
        <v>449</v>
      </c>
      <c r="F141" s="19" t="s">
        <v>825</v>
      </c>
      <c r="H141" s="71"/>
    </row>
    <row r="142" spans="1:9">
      <c r="A142" s="12"/>
      <c r="B142" s="2" t="s">
        <v>310</v>
      </c>
      <c r="C142" s="11">
        <v>80328666.969999999</v>
      </c>
      <c r="D142" s="1"/>
      <c r="E142" s="25" t="s">
        <v>449</v>
      </c>
      <c r="F142" s="19" t="s">
        <v>826</v>
      </c>
      <c r="H142" s="71"/>
    </row>
    <row r="143" spans="1:9">
      <c r="A143" s="12"/>
      <c r="B143" s="2" t="s">
        <v>342</v>
      </c>
      <c r="C143" s="11">
        <v>546598414</v>
      </c>
      <c r="D143" s="1"/>
      <c r="E143" s="25" t="s">
        <v>450</v>
      </c>
      <c r="F143" s="19" t="s">
        <v>827</v>
      </c>
      <c r="H143" s="71"/>
      <c r="I143" s="77"/>
    </row>
    <row r="144" spans="1:9">
      <c r="A144" s="12"/>
      <c r="B144" s="2" t="s">
        <v>343</v>
      </c>
      <c r="C144" s="11">
        <v>53100621</v>
      </c>
      <c r="D144" s="1"/>
      <c r="E144" s="25" t="s">
        <v>450</v>
      </c>
      <c r="F144" s="19" t="s">
        <v>835</v>
      </c>
      <c r="H144" s="71"/>
    </row>
    <row r="145" spans="1:9">
      <c r="A145" s="12"/>
      <c r="B145" s="2" t="s">
        <v>344</v>
      </c>
      <c r="C145" s="11">
        <v>493497793</v>
      </c>
      <c r="D145" s="1"/>
      <c r="E145" s="25" t="s">
        <v>450</v>
      </c>
      <c r="F145" s="19" t="s">
        <v>836</v>
      </c>
      <c r="H145" s="71"/>
      <c r="I145" s="77"/>
    </row>
    <row r="146" spans="1:9">
      <c r="A146" s="12"/>
      <c r="C146" s="11"/>
      <c r="E146" s="19"/>
      <c r="H146" s="71"/>
    </row>
    <row r="147" spans="1:9">
      <c r="A147" s="4" t="s">
        <v>473</v>
      </c>
      <c r="B147" s="4" t="s">
        <v>654</v>
      </c>
      <c r="C147" s="11">
        <v>177802566</v>
      </c>
      <c r="D147" s="1"/>
      <c r="E147" s="25" t="s">
        <v>492</v>
      </c>
      <c r="F147" s="25" t="s">
        <v>955</v>
      </c>
      <c r="H147" s="71"/>
    </row>
    <row r="148" spans="1:9">
      <c r="A148" s="4"/>
      <c r="B148" s="4" t="s">
        <v>904</v>
      </c>
      <c r="C148" s="11">
        <v>3444451</v>
      </c>
      <c r="D148" s="1"/>
      <c r="E148" s="25" t="s">
        <v>492</v>
      </c>
      <c r="F148" s="25" t="s">
        <v>776</v>
      </c>
      <c r="H148" s="71"/>
    </row>
    <row r="149" spans="1:9">
      <c r="A149" s="4"/>
      <c r="B149" s="4" t="s">
        <v>905</v>
      </c>
      <c r="C149" s="11">
        <v>2780989</v>
      </c>
      <c r="D149" s="1"/>
      <c r="E149" s="25" t="s">
        <v>492</v>
      </c>
      <c r="F149" s="25" t="s">
        <v>565</v>
      </c>
      <c r="H149" s="71"/>
    </row>
    <row r="150" spans="1:9">
      <c r="A150" s="12"/>
      <c r="B150" s="2" t="s">
        <v>655</v>
      </c>
      <c r="C150" s="11">
        <v>13428455</v>
      </c>
      <c r="D150" s="1"/>
      <c r="E150" s="25" t="s">
        <v>492</v>
      </c>
      <c r="F150" s="25" t="s">
        <v>956</v>
      </c>
      <c r="H150" s="71"/>
    </row>
    <row r="151" spans="1:9">
      <c r="A151" s="12"/>
      <c r="B151" s="2" t="s">
        <v>656</v>
      </c>
      <c r="C151" s="11">
        <v>31194606</v>
      </c>
      <c r="D151" s="1"/>
      <c r="E151" s="25" t="s">
        <v>492</v>
      </c>
      <c r="F151" s="25" t="s">
        <v>957</v>
      </c>
      <c r="H151" s="71"/>
    </row>
    <row r="152" spans="1:9">
      <c r="A152" s="4" t="s">
        <v>272</v>
      </c>
      <c r="B152" s="4" t="s">
        <v>908</v>
      </c>
      <c r="C152" s="11">
        <v>0</v>
      </c>
      <c r="D152" s="1"/>
      <c r="E152" s="25" t="s">
        <v>272</v>
      </c>
      <c r="F152" s="25" t="s">
        <v>272</v>
      </c>
      <c r="H152" s="71"/>
    </row>
    <row r="153" spans="1:9">
      <c r="A153" s="12"/>
      <c r="B153" s="4" t="s">
        <v>272</v>
      </c>
      <c r="C153" s="11" t="s">
        <v>272</v>
      </c>
      <c r="D153" s="1" t="s">
        <v>272</v>
      </c>
      <c r="E153" s="25" t="s">
        <v>272</v>
      </c>
      <c r="F153" s="25" t="s">
        <v>909</v>
      </c>
      <c r="H153" s="71"/>
    </row>
    <row r="154" spans="1:9">
      <c r="A154" s="4" t="s">
        <v>474</v>
      </c>
      <c r="B154" s="2" t="s">
        <v>580</v>
      </c>
      <c r="C154" s="11">
        <v>9042366</v>
      </c>
      <c r="D154" s="1"/>
      <c r="E154" s="25" t="s">
        <v>444</v>
      </c>
      <c r="F154" s="19" t="s">
        <v>451</v>
      </c>
      <c r="H154" s="71"/>
    </row>
    <row r="155" spans="1:9">
      <c r="A155" s="12"/>
      <c r="B155" s="2" t="s">
        <v>581</v>
      </c>
      <c r="C155" s="11">
        <v>74324513</v>
      </c>
      <c r="D155" s="1"/>
      <c r="E155" s="25" t="s">
        <v>444</v>
      </c>
      <c r="F155" s="25" t="s">
        <v>452</v>
      </c>
      <c r="H155" s="71"/>
    </row>
    <row r="156" spans="1:9">
      <c r="A156" s="12"/>
      <c r="B156" s="2" t="s">
        <v>697</v>
      </c>
      <c r="C156" s="11">
        <v>21043738</v>
      </c>
      <c r="D156" s="1"/>
      <c r="E156" s="25" t="s">
        <v>444</v>
      </c>
      <c r="F156" s="19" t="s">
        <v>699</v>
      </c>
      <c r="H156" s="71"/>
    </row>
    <row r="157" spans="1:9">
      <c r="A157" s="12"/>
      <c r="B157" s="2" t="s">
        <v>521</v>
      </c>
      <c r="C157" s="11">
        <v>16445895</v>
      </c>
      <c r="D157" s="1"/>
      <c r="E157" s="25" t="s">
        <v>444</v>
      </c>
      <c r="F157" s="19" t="s">
        <v>700</v>
      </c>
      <c r="H157" s="71"/>
    </row>
    <row r="158" spans="1:9">
      <c r="A158" s="12"/>
      <c r="B158" s="4" t="s">
        <v>777</v>
      </c>
      <c r="C158" s="11">
        <v>13797134</v>
      </c>
      <c r="D158" s="1"/>
      <c r="E158" s="25" t="s">
        <v>444</v>
      </c>
      <c r="F158" s="25" t="s">
        <v>819</v>
      </c>
      <c r="H158" s="71"/>
    </row>
    <row r="159" spans="1:9">
      <c r="A159" s="12"/>
      <c r="C159" s="11"/>
      <c r="E159" s="19"/>
      <c r="H159" s="71"/>
    </row>
    <row r="160" spans="1:9">
      <c r="A160" s="4" t="s">
        <v>475</v>
      </c>
      <c r="B160" s="2" t="s">
        <v>504</v>
      </c>
      <c r="C160" s="142">
        <v>0.21</v>
      </c>
      <c r="D160" s="1"/>
      <c r="E160" s="25" t="s">
        <v>445</v>
      </c>
      <c r="F160" s="25" t="s">
        <v>528</v>
      </c>
      <c r="H160" s="71"/>
    </row>
    <row r="161" spans="1:8">
      <c r="A161" s="12"/>
      <c r="B161" s="2" t="s">
        <v>506</v>
      </c>
      <c r="C161" s="142">
        <v>3.7500000000000006E-2</v>
      </c>
      <c r="D161" s="1"/>
      <c r="E161" s="25" t="s">
        <v>445</v>
      </c>
      <c r="F161" s="25" t="s">
        <v>562</v>
      </c>
      <c r="H161" s="71"/>
    </row>
    <row r="162" spans="1:8">
      <c r="A162" s="12"/>
      <c r="B162" s="4" t="s">
        <v>648</v>
      </c>
      <c r="C162" s="142">
        <v>0</v>
      </c>
      <c r="D162" s="1"/>
      <c r="E162" s="25" t="s">
        <v>445</v>
      </c>
      <c r="F162" s="25" t="s">
        <v>488</v>
      </c>
      <c r="H162" s="71"/>
    </row>
    <row r="163" spans="1:8">
      <c r="A163" s="12"/>
      <c r="B163" s="2" t="s">
        <v>512</v>
      </c>
      <c r="C163" s="11">
        <v>0</v>
      </c>
      <c r="D163" s="1"/>
      <c r="E163" s="25" t="s">
        <v>445</v>
      </c>
      <c r="F163" s="25" t="s">
        <v>566</v>
      </c>
      <c r="H163" s="71"/>
    </row>
    <row r="164" spans="1:8">
      <c r="A164" s="12"/>
      <c r="B164" s="2"/>
      <c r="C164" s="11"/>
      <c r="D164" s="1"/>
      <c r="E164" s="19"/>
      <c r="H164" s="71"/>
    </row>
    <row r="165" spans="1:8">
      <c r="A165" s="2"/>
      <c r="C165" s="11"/>
      <c r="E165" s="19"/>
      <c r="H165" s="71"/>
    </row>
    <row r="166" spans="1:8" hidden="1">
      <c r="A166" s="4" t="s">
        <v>527</v>
      </c>
      <c r="B166" s="1" t="s">
        <v>345</v>
      </c>
      <c r="C166" s="11"/>
      <c r="E166" s="19"/>
      <c r="H166" s="71"/>
    </row>
    <row r="167" spans="1:8" hidden="1">
      <c r="A167" s="16"/>
      <c r="B167" s="2" t="s">
        <v>346</v>
      </c>
      <c r="C167" s="11">
        <v>0</v>
      </c>
      <c r="D167" s="1"/>
      <c r="E167" s="25" t="s">
        <v>481</v>
      </c>
      <c r="F167" s="19"/>
      <c r="H167" s="71"/>
    </row>
    <row r="168" spans="1:8" hidden="1">
      <c r="A168" s="16"/>
      <c r="B168" s="2" t="s">
        <v>347</v>
      </c>
      <c r="C168" s="11">
        <v>0</v>
      </c>
      <c r="D168" s="1"/>
      <c r="E168" s="25" t="s">
        <v>481</v>
      </c>
      <c r="F168" s="19"/>
      <c r="H168" s="71"/>
    </row>
    <row r="169" spans="1:8" hidden="1">
      <c r="A169" s="16"/>
      <c r="B169" s="2" t="s">
        <v>348</v>
      </c>
      <c r="C169" s="11">
        <v>0</v>
      </c>
      <c r="D169" s="1"/>
      <c r="E169" s="25" t="s">
        <v>481</v>
      </c>
      <c r="F169" s="19"/>
      <c r="H169" s="71"/>
    </row>
    <row r="170" spans="1:8" hidden="1">
      <c r="A170" s="12"/>
      <c r="B170" s="2" t="s">
        <v>349</v>
      </c>
      <c r="C170" s="11">
        <v>0</v>
      </c>
      <c r="D170" s="1"/>
      <c r="E170" s="25" t="s">
        <v>481</v>
      </c>
      <c r="F170" s="19"/>
      <c r="H170" s="71"/>
    </row>
    <row r="171" spans="1:8" hidden="1">
      <c r="A171" s="12"/>
      <c r="B171" s="2" t="s">
        <v>350</v>
      </c>
      <c r="C171" s="11">
        <v>0</v>
      </c>
      <c r="D171" s="1"/>
      <c r="E171" s="25" t="s">
        <v>481</v>
      </c>
      <c r="F171" s="19"/>
      <c r="H171" s="71"/>
    </row>
    <row r="172" spans="1:8" hidden="1">
      <c r="A172" s="12"/>
      <c r="B172" s="2" t="s">
        <v>351</v>
      </c>
      <c r="C172" s="11">
        <v>0</v>
      </c>
      <c r="D172" s="1"/>
      <c r="E172" s="25" t="s">
        <v>481</v>
      </c>
      <c r="F172" s="19"/>
      <c r="H172" s="71"/>
    </row>
    <row r="173" spans="1:8" hidden="1">
      <c r="A173" s="12"/>
      <c r="B173" s="2" t="s">
        <v>352</v>
      </c>
      <c r="C173" s="11">
        <v>0</v>
      </c>
      <c r="D173" s="1"/>
      <c r="E173" s="25" t="s">
        <v>481</v>
      </c>
      <c r="F173" s="19"/>
      <c r="H173" s="71"/>
    </row>
    <row r="174" spans="1:8" hidden="1">
      <c r="A174" s="12"/>
      <c r="B174" s="2" t="s">
        <v>353</v>
      </c>
      <c r="C174" s="11">
        <v>0</v>
      </c>
      <c r="D174" s="1"/>
      <c r="E174" s="25" t="s">
        <v>481</v>
      </c>
      <c r="F174" s="19"/>
      <c r="H174" s="71"/>
    </row>
    <row r="175" spans="1:8" hidden="1">
      <c r="A175" s="12"/>
      <c r="B175" s="2" t="s">
        <v>414</v>
      </c>
      <c r="C175" s="11">
        <v>0</v>
      </c>
      <c r="D175" s="1"/>
      <c r="E175" s="25" t="s">
        <v>481</v>
      </c>
      <c r="F175" s="19"/>
      <c r="H175" s="71"/>
    </row>
    <row r="176" spans="1:8" hidden="1">
      <c r="A176" s="12"/>
      <c r="B176" s="2" t="s">
        <v>415</v>
      </c>
      <c r="C176" s="11">
        <v>0</v>
      </c>
      <c r="D176" s="1"/>
      <c r="E176" s="25" t="s">
        <v>481</v>
      </c>
      <c r="F176" s="19"/>
      <c r="H176" s="71"/>
    </row>
    <row r="177" spans="1:8" hidden="1">
      <c r="A177" s="12"/>
      <c r="B177" s="2" t="s">
        <v>416</v>
      </c>
      <c r="C177" s="11">
        <v>0</v>
      </c>
      <c r="D177" s="1"/>
      <c r="E177" s="25" t="s">
        <v>481</v>
      </c>
      <c r="F177" s="19"/>
      <c r="H177" s="71"/>
    </row>
    <row r="178" spans="1:8" hidden="1">
      <c r="A178" s="12"/>
      <c r="B178" s="2" t="s">
        <v>417</v>
      </c>
      <c r="C178" s="11">
        <v>0</v>
      </c>
      <c r="D178" s="1"/>
      <c r="E178" s="25" t="s">
        <v>481</v>
      </c>
      <c r="F178" s="19"/>
      <c r="H178" s="71"/>
    </row>
    <row r="179" spans="1:8" hidden="1">
      <c r="A179" s="12"/>
      <c r="B179" s="2" t="s">
        <v>77</v>
      </c>
      <c r="C179" s="11">
        <f>SUM(C167:C178)</f>
        <v>0</v>
      </c>
      <c r="E179" s="34"/>
      <c r="H179" s="71"/>
    </row>
    <row r="180" spans="1:8" hidden="1">
      <c r="A180" s="12"/>
      <c r="C180" s="11"/>
      <c r="E180" s="19"/>
      <c r="H180" s="71"/>
    </row>
    <row r="181" spans="1:8" hidden="1">
      <c r="A181" s="4" t="s">
        <v>458</v>
      </c>
      <c r="B181" s="1" t="s">
        <v>228</v>
      </c>
      <c r="E181" s="19"/>
      <c r="H181" s="71"/>
    </row>
    <row r="182" spans="1:8" hidden="1">
      <c r="A182" s="16"/>
      <c r="B182" s="2" t="s">
        <v>346</v>
      </c>
      <c r="C182" s="11">
        <v>0</v>
      </c>
      <c r="D182" s="1"/>
      <c r="E182" s="25" t="s">
        <v>453</v>
      </c>
      <c r="F182" s="25"/>
      <c r="H182" s="71"/>
    </row>
    <row r="183" spans="1:8" hidden="1">
      <c r="A183" s="16"/>
      <c r="B183" s="2" t="s">
        <v>347</v>
      </c>
      <c r="C183" s="11">
        <v>0</v>
      </c>
      <c r="D183" s="1"/>
      <c r="E183" s="25" t="s">
        <v>453</v>
      </c>
      <c r="F183" s="25"/>
      <c r="H183" s="71"/>
    </row>
    <row r="184" spans="1:8" hidden="1">
      <c r="A184" s="16"/>
      <c r="B184" s="2" t="s">
        <v>348</v>
      </c>
      <c r="C184" s="11">
        <v>0</v>
      </c>
      <c r="D184" s="1"/>
      <c r="E184" s="25" t="s">
        <v>453</v>
      </c>
      <c r="F184" s="25"/>
      <c r="H184" s="71"/>
    </row>
    <row r="185" spans="1:8" hidden="1">
      <c r="A185" s="12"/>
      <c r="B185" s="2" t="s">
        <v>349</v>
      </c>
      <c r="C185" s="11">
        <v>0</v>
      </c>
      <c r="D185" s="1"/>
      <c r="E185" s="25" t="s">
        <v>453</v>
      </c>
      <c r="F185" s="25"/>
      <c r="H185" s="71"/>
    </row>
    <row r="186" spans="1:8" hidden="1">
      <c r="A186" s="12"/>
      <c r="B186" s="2" t="s">
        <v>350</v>
      </c>
      <c r="C186" s="11">
        <v>0</v>
      </c>
      <c r="D186" s="1"/>
      <c r="E186" s="25" t="s">
        <v>453</v>
      </c>
      <c r="F186" s="25"/>
      <c r="H186" s="71"/>
    </row>
    <row r="187" spans="1:8" hidden="1">
      <c r="A187" s="12"/>
      <c r="B187" s="2" t="s">
        <v>351</v>
      </c>
      <c r="C187" s="11">
        <v>0</v>
      </c>
      <c r="D187" s="1"/>
      <c r="E187" s="25" t="s">
        <v>453</v>
      </c>
      <c r="F187" s="25"/>
      <c r="H187" s="71"/>
    </row>
    <row r="188" spans="1:8" hidden="1">
      <c r="A188" s="12"/>
      <c r="B188" s="2" t="s">
        <v>352</v>
      </c>
      <c r="C188" s="11">
        <v>0</v>
      </c>
      <c r="D188" s="1"/>
      <c r="E188" s="25" t="s">
        <v>453</v>
      </c>
      <c r="F188" s="25"/>
      <c r="H188" s="71"/>
    </row>
    <row r="189" spans="1:8" hidden="1">
      <c r="A189" s="12"/>
      <c r="B189" s="2" t="s">
        <v>353</v>
      </c>
      <c r="C189" s="11">
        <v>0</v>
      </c>
      <c r="D189" s="1"/>
      <c r="E189" s="25" t="s">
        <v>453</v>
      </c>
      <c r="F189" s="25"/>
      <c r="H189" s="71"/>
    </row>
    <row r="190" spans="1:8" hidden="1">
      <c r="A190" s="12"/>
      <c r="B190" s="2" t="s">
        <v>414</v>
      </c>
      <c r="C190" s="11">
        <v>0</v>
      </c>
      <c r="D190" s="1"/>
      <c r="E190" s="25" t="s">
        <v>453</v>
      </c>
      <c r="F190" s="25"/>
      <c r="H190" s="71"/>
    </row>
    <row r="191" spans="1:8" hidden="1">
      <c r="A191" s="12"/>
      <c r="B191" s="2" t="s">
        <v>415</v>
      </c>
      <c r="C191" s="11">
        <v>0</v>
      </c>
      <c r="D191" s="1"/>
      <c r="E191" s="25" t="s">
        <v>453</v>
      </c>
      <c r="F191" s="25"/>
      <c r="H191" s="71"/>
    </row>
    <row r="192" spans="1:8" hidden="1">
      <c r="A192" s="12"/>
      <c r="B192" s="2" t="s">
        <v>416</v>
      </c>
      <c r="C192" s="11">
        <v>0</v>
      </c>
      <c r="D192" s="1"/>
      <c r="E192" s="25" t="s">
        <v>453</v>
      </c>
      <c r="F192" s="25"/>
      <c r="H192" s="71"/>
    </row>
    <row r="193" spans="1:8" hidden="1">
      <c r="A193" s="12"/>
      <c r="B193" s="2" t="s">
        <v>417</v>
      </c>
      <c r="C193" s="11">
        <v>0</v>
      </c>
      <c r="D193" s="1"/>
      <c r="E193" s="25" t="s">
        <v>453</v>
      </c>
      <c r="F193" s="25"/>
      <c r="H193" s="71"/>
    </row>
    <row r="194" spans="1:8" hidden="1">
      <c r="A194" s="12"/>
      <c r="B194" s="2" t="s">
        <v>77</v>
      </c>
      <c r="C194" s="14">
        <f>SUM(C182:C193)</f>
        <v>0</v>
      </c>
      <c r="E194" s="19"/>
      <c r="H194" s="71"/>
    </row>
    <row r="195" spans="1:8" hidden="1">
      <c r="A195" s="2"/>
      <c r="E195" s="19"/>
      <c r="H195" s="71"/>
    </row>
    <row r="196" spans="1:8" hidden="1">
      <c r="A196" s="4" t="s">
        <v>457</v>
      </c>
      <c r="B196" s="5" t="s">
        <v>354</v>
      </c>
      <c r="C196" s="1"/>
      <c r="E196" s="19"/>
      <c r="H196" s="71"/>
    </row>
    <row r="197" spans="1:8" hidden="1">
      <c r="A197" s="16"/>
      <c r="B197" s="2" t="s">
        <v>346</v>
      </c>
      <c r="C197" s="11">
        <v>0</v>
      </c>
      <c r="D197" s="1"/>
      <c r="E197" s="25" t="s">
        <v>477</v>
      </c>
      <c r="F197" s="19"/>
      <c r="H197" s="71"/>
    </row>
    <row r="198" spans="1:8" hidden="1">
      <c r="A198" s="16"/>
      <c r="B198" s="2" t="s">
        <v>347</v>
      </c>
      <c r="C198" s="11">
        <v>0</v>
      </c>
      <c r="D198" s="1"/>
      <c r="E198" s="25" t="s">
        <v>477</v>
      </c>
      <c r="F198" s="19"/>
      <c r="H198" s="71"/>
    </row>
    <row r="199" spans="1:8" hidden="1">
      <c r="A199" s="16"/>
      <c r="B199" s="2" t="s">
        <v>348</v>
      </c>
      <c r="C199" s="11">
        <v>0</v>
      </c>
      <c r="D199" s="1"/>
      <c r="E199" s="25" t="s">
        <v>477</v>
      </c>
      <c r="F199" s="19"/>
      <c r="H199" s="71"/>
    </row>
    <row r="200" spans="1:8" hidden="1">
      <c r="A200" s="16"/>
      <c r="B200" s="2" t="s">
        <v>349</v>
      </c>
      <c r="C200" s="11">
        <v>0</v>
      </c>
      <c r="D200" s="1"/>
      <c r="E200" s="25" t="s">
        <v>477</v>
      </c>
      <c r="F200" s="19"/>
      <c r="H200" s="71"/>
    </row>
    <row r="201" spans="1:8" hidden="1">
      <c r="A201" s="16"/>
      <c r="B201" s="2" t="s">
        <v>350</v>
      </c>
      <c r="C201" s="11">
        <v>0</v>
      </c>
      <c r="D201" s="1"/>
      <c r="E201" s="25" t="s">
        <v>477</v>
      </c>
      <c r="F201" s="19"/>
      <c r="H201" s="71"/>
    </row>
    <row r="202" spans="1:8" hidden="1">
      <c r="A202" s="12"/>
      <c r="B202" s="2" t="s">
        <v>351</v>
      </c>
      <c r="C202" s="11">
        <v>0</v>
      </c>
      <c r="E202" s="25" t="s">
        <v>477</v>
      </c>
      <c r="F202" s="19"/>
      <c r="H202" s="71"/>
    </row>
    <row r="203" spans="1:8" hidden="1">
      <c r="A203" s="16"/>
      <c r="B203" s="2" t="s">
        <v>352</v>
      </c>
      <c r="C203" s="11">
        <v>0</v>
      </c>
      <c r="D203" s="1"/>
      <c r="E203" s="25" t="s">
        <v>477</v>
      </c>
      <c r="F203" s="19"/>
      <c r="H203" s="71"/>
    </row>
    <row r="204" spans="1:8" hidden="1">
      <c r="A204" s="16"/>
      <c r="B204" s="2" t="s">
        <v>353</v>
      </c>
      <c r="C204" s="11">
        <v>0</v>
      </c>
      <c r="D204" s="1"/>
      <c r="E204" s="25" t="s">
        <v>477</v>
      </c>
      <c r="F204" s="19"/>
      <c r="H204" s="71"/>
    </row>
    <row r="205" spans="1:8" hidden="1">
      <c r="A205" s="12"/>
      <c r="B205" s="2" t="s">
        <v>414</v>
      </c>
      <c r="C205" s="11">
        <v>0</v>
      </c>
      <c r="E205" s="25" t="s">
        <v>477</v>
      </c>
      <c r="F205" s="19"/>
      <c r="H205" s="71"/>
    </row>
    <row r="206" spans="1:8" hidden="1">
      <c r="A206" s="2"/>
      <c r="B206" s="2" t="s">
        <v>415</v>
      </c>
      <c r="C206" s="11">
        <v>0</v>
      </c>
      <c r="E206" s="25" t="s">
        <v>477</v>
      </c>
      <c r="F206" s="19"/>
      <c r="H206" s="71"/>
    </row>
    <row r="207" spans="1:8" hidden="1">
      <c r="A207" s="16"/>
      <c r="B207" s="2" t="s">
        <v>416</v>
      </c>
      <c r="C207" s="11">
        <v>0</v>
      </c>
      <c r="D207" s="1"/>
      <c r="E207" s="25" t="s">
        <v>477</v>
      </c>
      <c r="F207" s="19"/>
      <c r="H207" s="71"/>
    </row>
    <row r="208" spans="1:8" hidden="1">
      <c r="A208" s="16"/>
      <c r="B208" s="2" t="s">
        <v>417</v>
      </c>
      <c r="C208" s="11">
        <v>0</v>
      </c>
      <c r="D208" s="1"/>
      <c r="E208" s="25" t="s">
        <v>477</v>
      </c>
      <c r="F208" s="19"/>
      <c r="H208" s="71"/>
    </row>
    <row r="209" spans="1:8" hidden="1">
      <c r="A209" s="16"/>
      <c r="B209" s="2" t="s">
        <v>77</v>
      </c>
      <c r="C209" s="14">
        <f>SUM(C197:C208)</f>
        <v>0</v>
      </c>
      <c r="D209" s="1"/>
      <c r="E209" s="19"/>
      <c r="H209" s="71"/>
    </row>
    <row r="210" spans="1:8" hidden="1">
      <c r="A210" s="16"/>
      <c r="B210" s="2"/>
      <c r="C210" s="11"/>
      <c r="D210" s="1"/>
      <c r="E210" s="19"/>
      <c r="H210" s="71"/>
    </row>
    <row r="211" spans="1:8" hidden="1">
      <c r="A211" s="4" t="s">
        <v>456</v>
      </c>
      <c r="B211" s="1" t="s">
        <v>322</v>
      </c>
      <c r="C211" s="11"/>
      <c r="D211" s="1"/>
      <c r="E211" s="19"/>
      <c r="H211" s="71"/>
    </row>
    <row r="212" spans="1:8" hidden="1">
      <c r="A212" s="12"/>
      <c r="B212" s="2" t="s">
        <v>346</v>
      </c>
      <c r="C212" s="11">
        <v>0</v>
      </c>
      <c r="E212" s="25" t="s">
        <v>477</v>
      </c>
      <c r="F212" s="19"/>
      <c r="H212" s="71"/>
    </row>
    <row r="213" spans="1:8" hidden="1">
      <c r="A213" s="16"/>
      <c r="B213" s="2" t="s">
        <v>347</v>
      </c>
      <c r="C213" s="11">
        <v>0</v>
      </c>
      <c r="D213" s="1"/>
      <c r="E213" s="25" t="s">
        <v>477</v>
      </c>
      <c r="F213" s="19"/>
      <c r="H213" s="71"/>
    </row>
    <row r="214" spans="1:8" hidden="1">
      <c r="A214" s="16"/>
      <c r="B214" s="2" t="s">
        <v>348</v>
      </c>
      <c r="C214" s="11">
        <v>0</v>
      </c>
      <c r="D214" s="1"/>
      <c r="E214" s="25" t="s">
        <v>477</v>
      </c>
      <c r="F214" s="19"/>
      <c r="H214" s="71"/>
    </row>
    <row r="215" spans="1:8" hidden="1">
      <c r="A215" s="12"/>
      <c r="B215" s="2" t="s">
        <v>349</v>
      </c>
      <c r="C215" s="11">
        <v>0</v>
      </c>
      <c r="E215" s="25" t="s">
        <v>477</v>
      </c>
      <c r="F215" s="19"/>
      <c r="H215" s="71"/>
    </row>
    <row r="216" spans="1:8" hidden="1">
      <c r="A216" s="2"/>
      <c r="B216" s="2" t="s">
        <v>350</v>
      </c>
      <c r="C216" s="11">
        <v>0</v>
      </c>
      <c r="E216" s="25" t="s">
        <v>477</v>
      </c>
      <c r="F216" s="19"/>
      <c r="H216" s="71"/>
    </row>
    <row r="217" spans="1:8" hidden="1">
      <c r="A217" s="16"/>
      <c r="B217" s="2" t="s">
        <v>351</v>
      </c>
      <c r="C217" s="11">
        <v>0</v>
      </c>
      <c r="D217" s="1"/>
      <c r="E217" s="25" t="s">
        <v>477</v>
      </c>
      <c r="F217" s="19"/>
      <c r="H217" s="71"/>
    </row>
    <row r="218" spans="1:8" hidden="1">
      <c r="A218" s="16"/>
      <c r="B218" s="2" t="s">
        <v>352</v>
      </c>
      <c r="C218" s="11">
        <v>0</v>
      </c>
      <c r="D218" s="1"/>
      <c r="E218" s="25" t="s">
        <v>477</v>
      </c>
      <c r="F218" s="19"/>
      <c r="H218" s="71"/>
    </row>
    <row r="219" spans="1:8" hidden="1">
      <c r="A219" s="16"/>
      <c r="B219" s="2" t="s">
        <v>353</v>
      </c>
      <c r="C219" s="11">
        <v>0</v>
      </c>
      <c r="D219" s="1"/>
      <c r="E219" s="25" t="s">
        <v>477</v>
      </c>
      <c r="F219" s="19"/>
      <c r="H219" s="71"/>
    </row>
    <row r="220" spans="1:8" hidden="1">
      <c r="A220" s="16"/>
      <c r="B220" s="2" t="s">
        <v>414</v>
      </c>
      <c r="C220" s="11">
        <v>0</v>
      </c>
      <c r="D220" s="1"/>
      <c r="E220" s="25" t="s">
        <v>477</v>
      </c>
      <c r="F220" s="19"/>
      <c r="H220" s="71"/>
    </row>
    <row r="221" spans="1:8" hidden="1">
      <c r="A221" s="16"/>
      <c r="B221" s="2" t="s">
        <v>415</v>
      </c>
      <c r="C221" s="11">
        <v>0</v>
      </c>
      <c r="D221" s="1"/>
      <c r="E221" s="25" t="s">
        <v>477</v>
      </c>
      <c r="F221" s="19"/>
      <c r="H221" s="71"/>
    </row>
    <row r="222" spans="1:8" hidden="1">
      <c r="A222" s="12"/>
      <c r="B222" s="2" t="s">
        <v>416</v>
      </c>
      <c r="C222" s="11">
        <v>0</v>
      </c>
      <c r="E222" s="25" t="s">
        <v>477</v>
      </c>
      <c r="F222" s="19"/>
      <c r="H222" s="71"/>
    </row>
    <row r="223" spans="1:8" hidden="1">
      <c r="A223" s="16"/>
      <c r="B223" s="2" t="s">
        <v>417</v>
      </c>
      <c r="C223" s="11">
        <v>0</v>
      </c>
      <c r="D223" s="1"/>
      <c r="E223" s="25" t="s">
        <v>477</v>
      </c>
      <c r="F223" s="19"/>
      <c r="H223" s="71"/>
    </row>
    <row r="224" spans="1:8" hidden="1">
      <c r="A224" s="16"/>
      <c r="B224" s="2" t="s">
        <v>77</v>
      </c>
      <c r="C224" s="14">
        <f>SUM(C212:C223)</f>
        <v>0</v>
      </c>
      <c r="D224" s="1"/>
      <c r="E224" s="19"/>
      <c r="H224" s="71"/>
    </row>
    <row r="225" spans="1:8" hidden="1">
      <c r="A225" s="12"/>
      <c r="E225" s="19"/>
      <c r="H225" s="71"/>
    </row>
    <row r="226" spans="1:8" hidden="1">
      <c r="A226" s="4" t="s">
        <v>456</v>
      </c>
      <c r="B226" s="5" t="s">
        <v>355</v>
      </c>
      <c r="C226" s="1"/>
      <c r="E226" s="19"/>
      <c r="H226" s="71"/>
    </row>
    <row r="227" spans="1:8" hidden="1">
      <c r="A227" s="12"/>
      <c r="B227" s="2" t="s">
        <v>346</v>
      </c>
      <c r="C227" s="11">
        <v>0</v>
      </c>
      <c r="D227" s="1"/>
      <c r="E227" s="25" t="s">
        <v>477</v>
      </c>
      <c r="F227" s="19"/>
      <c r="H227" s="71"/>
    </row>
    <row r="228" spans="1:8" hidden="1">
      <c r="A228" s="12"/>
      <c r="B228" s="2" t="s">
        <v>347</v>
      </c>
      <c r="C228" s="11">
        <v>0</v>
      </c>
      <c r="D228" s="1"/>
      <c r="E228" s="25" t="s">
        <v>477</v>
      </c>
      <c r="F228" s="19"/>
      <c r="H228" s="71"/>
    </row>
    <row r="229" spans="1:8" hidden="1">
      <c r="A229" s="12"/>
      <c r="B229" s="2" t="s">
        <v>348</v>
      </c>
      <c r="C229" s="11">
        <v>0</v>
      </c>
      <c r="D229" s="1"/>
      <c r="E229" s="25" t="s">
        <v>477</v>
      </c>
      <c r="F229" s="19"/>
      <c r="H229" s="71"/>
    </row>
    <row r="230" spans="1:8" hidden="1">
      <c r="A230" s="12"/>
      <c r="B230" s="2" t="s">
        <v>349</v>
      </c>
      <c r="C230" s="11">
        <v>0</v>
      </c>
      <c r="D230" s="1"/>
      <c r="E230" s="25" t="s">
        <v>477</v>
      </c>
      <c r="F230" s="19"/>
      <c r="H230" s="71"/>
    </row>
    <row r="231" spans="1:8" hidden="1">
      <c r="A231" s="12"/>
      <c r="B231" s="2" t="s">
        <v>350</v>
      </c>
      <c r="C231" s="11">
        <v>0</v>
      </c>
      <c r="D231" s="1"/>
      <c r="E231" s="25" t="s">
        <v>477</v>
      </c>
      <c r="F231" s="19"/>
      <c r="H231" s="71"/>
    </row>
    <row r="232" spans="1:8" hidden="1">
      <c r="A232" s="12"/>
      <c r="B232" s="2" t="s">
        <v>351</v>
      </c>
      <c r="C232" s="11">
        <v>0</v>
      </c>
      <c r="E232" s="25" t="s">
        <v>477</v>
      </c>
      <c r="F232" s="19"/>
      <c r="H232" s="71"/>
    </row>
    <row r="233" spans="1:8" hidden="1">
      <c r="A233" s="12"/>
      <c r="B233" s="2" t="s">
        <v>352</v>
      </c>
      <c r="C233" s="11">
        <v>0</v>
      </c>
      <c r="D233" s="1"/>
      <c r="E233" s="25" t="s">
        <v>477</v>
      </c>
      <c r="F233" s="19"/>
      <c r="H233" s="71"/>
    </row>
    <row r="234" spans="1:8" hidden="1">
      <c r="A234" s="12"/>
      <c r="B234" s="2" t="s">
        <v>353</v>
      </c>
      <c r="C234" s="11">
        <v>0</v>
      </c>
      <c r="D234" s="1"/>
      <c r="E234" s="25" t="s">
        <v>477</v>
      </c>
      <c r="F234" s="19"/>
      <c r="H234" s="71"/>
    </row>
    <row r="235" spans="1:8" hidden="1">
      <c r="A235" s="12"/>
      <c r="B235" s="2" t="s">
        <v>414</v>
      </c>
      <c r="C235" s="11">
        <v>0</v>
      </c>
      <c r="E235" s="25" t="s">
        <v>477</v>
      </c>
      <c r="F235" s="19"/>
      <c r="H235" s="71"/>
    </row>
    <row r="236" spans="1:8" hidden="1">
      <c r="A236" s="2"/>
      <c r="B236" s="2" t="s">
        <v>415</v>
      </c>
      <c r="C236" s="11">
        <v>0</v>
      </c>
      <c r="E236" s="25" t="s">
        <v>477</v>
      </c>
      <c r="F236" s="19"/>
      <c r="H236" s="71"/>
    </row>
    <row r="237" spans="1:8" hidden="1">
      <c r="A237" s="12"/>
      <c r="B237" s="2" t="s">
        <v>416</v>
      </c>
      <c r="C237" s="11">
        <v>0</v>
      </c>
      <c r="D237" s="1"/>
      <c r="E237" s="25" t="s">
        <v>477</v>
      </c>
      <c r="F237" s="19"/>
      <c r="H237" s="71"/>
    </row>
    <row r="238" spans="1:8" hidden="1">
      <c r="A238" s="12"/>
      <c r="B238" s="2" t="s">
        <v>417</v>
      </c>
      <c r="C238" s="11">
        <v>0</v>
      </c>
      <c r="D238" s="1"/>
      <c r="E238" s="25" t="s">
        <v>477</v>
      </c>
      <c r="F238" s="19"/>
      <c r="H238" s="71"/>
    </row>
    <row r="239" spans="1:8" hidden="1">
      <c r="A239" s="12"/>
      <c r="B239" s="2" t="s">
        <v>77</v>
      </c>
      <c r="C239" s="14">
        <f>SUM(C227:C238)</f>
        <v>0</v>
      </c>
      <c r="D239" s="1"/>
      <c r="E239" s="19"/>
      <c r="H239" s="71"/>
    </row>
    <row r="240" spans="1:8" hidden="1">
      <c r="A240" s="12"/>
      <c r="B240" s="2"/>
      <c r="C240" s="11"/>
      <c r="D240" s="1"/>
      <c r="E240" s="19"/>
      <c r="H240" s="71"/>
    </row>
    <row r="241" spans="1:8" hidden="1">
      <c r="A241" s="4" t="s">
        <v>457</v>
      </c>
      <c r="B241" s="1" t="s">
        <v>356</v>
      </c>
      <c r="C241" s="11"/>
      <c r="D241" s="1"/>
      <c r="E241" s="19"/>
      <c r="H241" s="71"/>
    </row>
    <row r="242" spans="1:8" hidden="1">
      <c r="A242" s="12"/>
      <c r="B242" s="2" t="s">
        <v>346</v>
      </c>
      <c r="C242" s="11">
        <v>0</v>
      </c>
      <c r="E242" s="25" t="s">
        <v>477</v>
      </c>
      <c r="F242" s="19"/>
      <c r="H242" s="71"/>
    </row>
    <row r="243" spans="1:8" hidden="1">
      <c r="A243" s="12"/>
      <c r="B243" s="2" t="s">
        <v>347</v>
      </c>
      <c r="C243" s="11">
        <v>0</v>
      </c>
      <c r="D243" s="1"/>
      <c r="E243" s="25" t="s">
        <v>477</v>
      </c>
      <c r="F243" s="19"/>
      <c r="H243" s="71"/>
    </row>
    <row r="244" spans="1:8" hidden="1">
      <c r="A244" s="12"/>
      <c r="B244" s="2" t="s">
        <v>348</v>
      </c>
      <c r="C244" s="11">
        <v>0</v>
      </c>
      <c r="D244" s="1"/>
      <c r="E244" s="25" t="s">
        <v>477</v>
      </c>
      <c r="F244" s="19"/>
      <c r="H244" s="71"/>
    </row>
    <row r="245" spans="1:8" hidden="1">
      <c r="A245" s="12"/>
      <c r="B245" s="2" t="s">
        <v>349</v>
      </c>
      <c r="C245" s="11">
        <v>0</v>
      </c>
      <c r="E245" s="25" t="s">
        <v>477</v>
      </c>
      <c r="F245" s="19"/>
      <c r="H245" s="71"/>
    </row>
    <row r="246" spans="1:8" hidden="1">
      <c r="A246" s="2"/>
      <c r="B246" s="2" t="s">
        <v>350</v>
      </c>
      <c r="C246" s="11">
        <v>0</v>
      </c>
      <c r="E246" s="25" t="s">
        <v>477</v>
      </c>
      <c r="F246" s="19"/>
      <c r="H246" s="71"/>
    </row>
    <row r="247" spans="1:8" hidden="1">
      <c r="A247" s="12"/>
      <c r="B247" s="2" t="s">
        <v>351</v>
      </c>
      <c r="C247" s="11">
        <v>0</v>
      </c>
      <c r="D247" s="1"/>
      <c r="E247" s="25" t="s">
        <v>477</v>
      </c>
      <c r="F247" s="19"/>
      <c r="H247" s="71"/>
    </row>
    <row r="248" spans="1:8" hidden="1">
      <c r="A248" s="12"/>
      <c r="B248" s="2" t="s">
        <v>352</v>
      </c>
      <c r="C248" s="11">
        <v>0</v>
      </c>
      <c r="D248" s="1"/>
      <c r="E248" s="25" t="s">
        <v>477</v>
      </c>
      <c r="F248" s="19"/>
      <c r="H248" s="71"/>
    </row>
    <row r="249" spans="1:8" hidden="1">
      <c r="A249" s="12"/>
      <c r="B249" s="2" t="s">
        <v>353</v>
      </c>
      <c r="C249" s="11">
        <v>0</v>
      </c>
      <c r="D249" s="1"/>
      <c r="E249" s="25" t="s">
        <v>477</v>
      </c>
      <c r="F249" s="19"/>
      <c r="H249" s="71"/>
    </row>
    <row r="250" spans="1:8" hidden="1">
      <c r="A250" s="12"/>
      <c r="B250" s="2" t="s">
        <v>414</v>
      </c>
      <c r="C250" s="11">
        <v>0</v>
      </c>
      <c r="D250" s="1"/>
      <c r="E250" s="25" t="s">
        <v>477</v>
      </c>
      <c r="F250" s="19"/>
      <c r="H250" s="71"/>
    </row>
    <row r="251" spans="1:8" hidden="1">
      <c r="A251" s="12"/>
      <c r="B251" s="2" t="s">
        <v>415</v>
      </c>
      <c r="C251" s="11">
        <v>0</v>
      </c>
      <c r="D251" s="1"/>
      <c r="E251" s="25" t="s">
        <v>477</v>
      </c>
      <c r="F251" s="19"/>
      <c r="H251" s="71"/>
    </row>
    <row r="252" spans="1:8" hidden="1">
      <c r="A252" s="12"/>
      <c r="B252" s="2" t="s">
        <v>416</v>
      </c>
      <c r="C252" s="11">
        <v>0</v>
      </c>
      <c r="E252" s="25" t="s">
        <v>477</v>
      </c>
      <c r="F252" s="19"/>
      <c r="H252" s="71"/>
    </row>
    <row r="253" spans="1:8" hidden="1">
      <c r="A253" s="12"/>
      <c r="B253" s="2" t="s">
        <v>417</v>
      </c>
      <c r="C253" s="11">
        <v>0</v>
      </c>
      <c r="D253" s="1"/>
      <c r="E253" s="25" t="s">
        <v>477</v>
      </c>
      <c r="F253" s="19"/>
      <c r="H253" s="71"/>
    </row>
    <row r="254" spans="1:8" hidden="1">
      <c r="A254" s="12"/>
      <c r="B254" s="2" t="s">
        <v>77</v>
      </c>
      <c r="C254" s="14">
        <f>SUM(C242:C253)</f>
        <v>0</v>
      </c>
      <c r="D254" s="1"/>
      <c r="E254" s="19"/>
      <c r="H254" s="71"/>
    </row>
    <row r="255" spans="1:8" hidden="1">
      <c r="A255" s="12"/>
      <c r="E255" s="19"/>
      <c r="H255" s="71"/>
    </row>
    <row r="256" spans="1:8" hidden="1">
      <c r="A256" s="4" t="s">
        <v>456</v>
      </c>
      <c r="B256" s="5" t="s">
        <v>357</v>
      </c>
      <c r="C256" s="1"/>
      <c r="E256" s="19"/>
      <c r="H256" s="71"/>
    </row>
    <row r="257" spans="1:8" hidden="1">
      <c r="A257" s="12"/>
      <c r="B257" s="2" t="s">
        <v>346</v>
      </c>
      <c r="C257" s="11">
        <v>0</v>
      </c>
      <c r="D257" s="1"/>
      <c r="E257" s="19" t="s">
        <v>443</v>
      </c>
      <c r="H257" s="71"/>
    </row>
    <row r="258" spans="1:8" hidden="1">
      <c r="A258" s="12"/>
      <c r="B258" s="2" t="s">
        <v>347</v>
      </c>
      <c r="C258" s="11">
        <v>0</v>
      </c>
      <c r="D258" s="1"/>
      <c r="E258" s="19" t="s">
        <v>443</v>
      </c>
      <c r="H258" s="71"/>
    </row>
    <row r="259" spans="1:8" hidden="1">
      <c r="A259" s="12"/>
      <c r="B259" s="2" t="s">
        <v>348</v>
      </c>
      <c r="C259" s="11">
        <v>0</v>
      </c>
      <c r="D259" s="1"/>
      <c r="E259" s="19" t="s">
        <v>443</v>
      </c>
      <c r="H259" s="71"/>
    </row>
    <row r="260" spans="1:8" hidden="1">
      <c r="A260" s="12"/>
      <c r="B260" s="2" t="s">
        <v>349</v>
      </c>
      <c r="C260" s="11">
        <v>0</v>
      </c>
      <c r="D260" s="1"/>
      <c r="E260" s="19" t="s">
        <v>443</v>
      </c>
      <c r="H260" s="71"/>
    </row>
    <row r="261" spans="1:8" hidden="1">
      <c r="A261" s="12"/>
      <c r="B261" s="2" t="s">
        <v>350</v>
      </c>
      <c r="C261" s="11">
        <v>0</v>
      </c>
      <c r="D261" s="1"/>
      <c r="E261" s="19" t="s">
        <v>443</v>
      </c>
      <c r="H261" s="71"/>
    </row>
    <row r="262" spans="1:8" hidden="1">
      <c r="A262" s="12"/>
      <c r="B262" s="2" t="s">
        <v>351</v>
      </c>
      <c r="C262" s="11">
        <v>0</v>
      </c>
      <c r="E262" s="19" t="s">
        <v>443</v>
      </c>
      <c r="H262" s="71"/>
    </row>
    <row r="263" spans="1:8" hidden="1">
      <c r="A263" s="12"/>
      <c r="B263" s="2" t="s">
        <v>352</v>
      </c>
      <c r="C263" s="11">
        <v>0</v>
      </c>
      <c r="D263" s="1"/>
      <c r="E263" s="19" t="s">
        <v>443</v>
      </c>
      <c r="H263" s="71"/>
    </row>
    <row r="264" spans="1:8" hidden="1">
      <c r="A264" s="12"/>
      <c r="B264" s="2" t="s">
        <v>353</v>
      </c>
      <c r="C264" s="11">
        <v>0</v>
      </c>
      <c r="D264" s="1"/>
      <c r="E264" s="19" t="s">
        <v>443</v>
      </c>
      <c r="H264" s="71"/>
    </row>
    <row r="265" spans="1:8" hidden="1">
      <c r="A265" s="12"/>
      <c r="B265" s="2" t="s">
        <v>414</v>
      </c>
      <c r="C265" s="11">
        <v>0</v>
      </c>
      <c r="E265" s="19" t="s">
        <v>443</v>
      </c>
      <c r="H265" s="71"/>
    </row>
    <row r="266" spans="1:8" hidden="1">
      <c r="A266" s="2"/>
      <c r="B266" s="2" t="s">
        <v>415</v>
      </c>
      <c r="C266" s="11">
        <v>0</v>
      </c>
      <c r="E266" s="19" t="s">
        <v>443</v>
      </c>
      <c r="H266" s="71"/>
    </row>
    <row r="267" spans="1:8" hidden="1">
      <c r="A267" s="12"/>
      <c r="B267" s="2" t="s">
        <v>416</v>
      </c>
      <c r="C267" s="11">
        <v>0</v>
      </c>
      <c r="D267" s="1"/>
      <c r="E267" s="19" t="s">
        <v>443</v>
      </c>
      <c r="H267" s="71"/>
    </row>
    <row r="268" spans="1:8" hidden="1">
      <c r="A268" s="12"/>
      <c r="B268" s="2" t="s">
        <v>417</v>
      </c>
      <c r="C268" s="11">
        <v>0</v>
      </c>
      <c r="D268" s="1"/>
      <c r="E268" s="19" t="s">
        <v>443</v>
      </c>
      <c r="H268" s="71"/>
    </row>
    <row r="269" spans="1:8" hidden="1">
      <c r="A269" s="12"/>
      <c r="B269" s="2" t="s">
        <v>77</v>
      </c>
      <c r="C269" s="14">
        <f>SUM(C257:C268)</f>
        <v>0</v>
      </c>
      <c r="D269" s="1"/>
      <c r="E269" s="19"/>
      <c r="H269" s="71"/>
    </row>
    <row r="270" spans="1:8" hidden="1">
      <c r="A270" s="12"/>
      <c r="B270" s="2"/>
      <c r="C270" s="11"/>
      <c r="D270" s="1"/>
      <c r="E270" s="19"/>
      <c r="H270" s="71"/>
    </row>
    <row r="271" spans="1:8" hidden="1">
      <c r="A271" s="4" t="s">
        <v>457</v>
      </c>
      <c r="B271" s="1" t="s">
        <v>358</v>
      </c>
      <c r="C271" s="11"/>
      <c r="D271" s="1"/>
      <c r="E271" s="19"/>
      <c r="H271" s="71"/>
    </row>
    <row r="272" spans="1:8" hidden="1">
      <c r="A272" s="12"/>
      <c r="B272" s="2" t="s">
        <v>346</v>
      </c>
      <c r="C272" s="26">
        <v>0</v>
      </c>
      <c r="E272" s="25" t="s">
        <v>477</v>
      </c>
      <c r="F272" s="19"/>
      <c r="H272" s="71"/>
    </row>
    <row r="273" spans="1:8" hidden="1">
      <c r="A273" s="12"/>
      <c r="B273" s="2" t="s">
        <v>347</v>
      </c>
      <c r="C273" s="26">
        <v>0</v>
      </c>
      <c r="D273" s="1"/>
      <c r="E273" s="25" t="s">
        <v>477</v>
      </c>
      <c r="F273" s="19"/>
      <c r="H273" s="71"/>
    </row>
    <row r="274" spans="1:8" hidden="1">
      <c r="A274" s="12"/>
      <c r="B274" s="2" t="s">
        <v>348</v>
      </c>
      <c r="C274" s="26">
        <v>0</v>
      </c>
      <c r="D274" s="1"/>
      <c r="E274" s="25" t="s">
        <v>477</v>
      </c>
      <c r="F274" s="19"/>
      <c r="H274" s="71"/>
    </row>
    <row r="275" spans="1:8" hidden="1">
      <c r="A275" s="12"/>
      <c r="B275" s="2" t="s">
        <v>349</v>
      </c>
      <c r="C275" s="26">
        <v>0</v>
      </c>
      <c r="E275" s="25" t="s">
        <v>477</v>
      </c>
      <c r="F275" s="19"/>
      <c r="H275" s="71"/>
    </row>
    <row r="276" spans="1:8" hidden="1">
      <c r="A276" s="2"/>
      <c r="B276" s="2" t="s">
        <v>350</v>
      </c>
      <c r="C276" s="26">
        <v>0</v>
      </c>
      <c r="E276" s="25" t="s">
        <v>477</v>
      </c>
      <c r="F276" s="19"/>
      <c r="H276" s="71"/>
    </row>
    <row r="277" spans="1:8" hidden="1">
      <c r="A277" s="12"/>
      <c r="B277" s="2" t="s">
        <v>351</v>
      </c>
      <c r="C277" s="26">
        <v>0</v>
      </c>
      <c r="D277" s="1"/>
      <c r="E277" s="25" t="s">
        <v>477</v>
      </c>
      <c r="F277" s="19"/>
      <c r="H277" s="71"/>
    </row>
    <row r="278" spans="1:8" hidden="1">
      <c r="A278" s="12"/>
      <c r="B278" s="2" t="s">
        <v>352</v>
      </c>
      <c r="C278" s="26">
        <v>0</v>
      </c>
      <c r="D278" s="1"/>
      <c r="E278" s="25" t="s">
        <v>477</v>
      </c>
      <c r="F278" s="19"/>
      <c r="H278" s="71"/>
    </row>
    <row r="279" spans="1:8" hidden="1">
      <c r="A279" s="12"/>
      <c r="B279" s="2" t="s">
        <v>353</v>
      </c>
      <c r="C279" s="26">
        <v>0</v>
      </c>
      <c r="D279" s="1"/>
      <c r="E279" s="25" t="s">
        <v>477</v>
      </c>
      <c r="F279" s="19"/>
      <c r="H279" s="71"/>
    </row>
    <row r="280" spans="1:8" hidden="1">
      <c r="A280" s="12"/>
      <c r="B280" s="2" t="s">
        <v>414</v>
      </c>
      <c r="C280" s="26">
        <v>0</v>
      </c>
      <c r="D280" s="1"/>
      <c r="E280" s="25" t="s">
        <v>477</v>
      </c>
      <c r="F280" s="19"/>
      <c r="H280" s="71"/>
    </row>
    <row r="281" spans="1:8" hidden="1">
      <c r="A281" s="12"/>
      <c r="B281" s="2" t="s">
        <v>415</v>
      </c>
      <c r="C281" s="26">
        <v>0</v>
      </c>
      <c r="D281" s="1"/>
      <c r="E281" s="25" t="s">
        <v>477</v>
      </c>
      <c r="F281" s="19"/>
      <c r="H281" s="71"/>
    </row>
    <row r="282" spans="1:8" hidden="1">
      <c r="A282" s="12"/>
      <c r="B282" s="2" t="s">
        <v>416</v>
      </c>
      <c r="C282" s="26">
        <v>0</v>
      </c>
      <c r="E282" s="25" t="s">
        <v>477</v>
      </c>
      <c r="F282" s="19"/>
      <c r="H282" s="71"/>
    </row>
    <row r="283" spans="1:8" hidden="1">
      <c r="A283" s="12"/>
      <c r="B283" s="2" t="s">
        <v>417</v>
      </c>
      <c r="C283" s="26">
        <v>0</v>
      </c>
      <c r="D283" s="1"/>
      <c r="E283" s="25" t="s">
        <v>477</v>
      </c>
      <c r="F283" s="19"/>
      <c r="H283" s="71"/>
    </row>
    <row r="284" spans="1:8" hidden="1">
      <c r="A284" s="12"/>
      <c r="B284" s="2" t="s">
        <v>77</v>
      </c>
      <c r="C284" s="17">
        <f>SUM(C272:C283)</f>
        <v>0</v>
      </c>
      <c r="D284" s="1"/>
      <c r="E284" s="19"/>
      <c r="H284" s="71"/>
    </row>
    <row r="285" spans="1:8" hidden="1">
      <c r="A285" s="12"/>
      <c r="E285" s="19"/>
      <c r="H285" s="71"/>
    </row>
    <row r="286" spans="1:8" hidden="1">
      <c r="A286" s="4" t="s">
        <v>457</v>
      </c>
      <c r="B286" s="1" t="s">
        <v>359</v>
      </c>
      <c r="C286" s="1"/>
      <c r="E286" s="19"/>
      <c r="H286" s="71"/>
    </row>
    <row r="287" spans="1:8" hidden="1">
      <c r="A287" s="12"/>
      <c r="B287" s="2" t="s">
        <v>346</v>
      </c>
      <c r="C287" s="11">
        <v>0</v>
      </c>
      <c r="D287" s="1"/>
      <c r="E287" s="25" t="s">
        <v>477</v>
      </c>
      <c r="F287" s="19"/>
      <c r="H287" s="71"/>
    </row>
    <row r="288" spans="1:8" hidden="1">
      <c r="A288" s="12"/>
      <c r="B288" s="2" t="s">
        <v>347</v>
      </c>
      <c r="C288" s="11">
        <v>0</v>
      </c>
      <c r="D288" s="1"/>
      <c r="E288" s="25" t="s">
        <v>477</v>
      </c>
      <c r="F288" s="19"/>
      <c r="H288" s="71"/>
    </row>
    <row r="289" spans="1:9" hidden="1">
      <c r="A289" s="12"/>
      <c r="B289" s="2" t="s">
        <v>348</v>
      </c>
      <c r="C289" s="11">
        <v>0</v>
      </c>
      <c r="D289" s="1"/>
      <c r="E289" s="25" t="s">
        <v>477</v>
      </c>
      <c r="F289" s="19"/>
      <c r="H289" s="71"/>
    </row>
    <row r="290" spans="1:9" hidden="1">
      <c r="A290" s="12"/>
      <c r="B290" s="2" t="s">
        <v>349</v>
      </c>
      <c r="C290" s="11">
        <v>0</v>
      </c>
      <c r="D290" s="1"/>
      <c r="E290" s="25" t="s">
        <v>477</v>
      </c>
      <c r="F290" s="19"/>
      <c r="H290" s="71"/>
    </row>
    <row r="291" spans="1:9" hidden="1">
      <c r="A291" s="12"/>
      <c r="B291" s="2" t="s">
        <v>350</v>
      </c>
      <c r="C291" s="11">
        <v>0</v>
      </c>
      <c r="D291" s="1"/>
      <c r="E291" s="25" t="s">
        <v>477</v>
      </c>
      <c r="F291" s="19"/>
      <c r="H291" s="71"/>
    </row>
    <row r="292" spans="1:9" hidden="1">
      <c r="A292" s="12"/>
      <c r="B292" s="2" t="s">
        <v>351</v>
      </c>
      <c r="C292" s="11">
        <v>0</v>
      </c>
      <c r="E292" s="25" t="s">
        <v>477</v>
      </c>
      <c r="F292" s="19"/>
      <c r="H292" s="71"/>
    </row>
    <row r="293" spans="1:9" hidden="1">
      <c r="A293" s="12"/>
      <c r="B293" s="2" t="s">
        <v>352</v>
      </c>
      <c r="C293" s="11">
        <v>0</v>
      </c>
      <c r="D293" s="1"/>
      <c r="E293" s="25" t="s">
        <v>477</v>
      </c>
      <c r="F293" s="19"/>
      <c r="H293" s="71"/>
    </row>
    <row r="294" spans="1:9" hidden="1">
      <c r="A294" s="12"/>
      <c r="B294" s="2" t="s">
        <v>353</v>
      </c>
      <c r="C294" s="11">
        <v>0</v>
      </c>
      <c r="D294" s="1"/>
      <c r="E294" s="25" t="s">
        <v>477</v>
      </c>
      <c r="F294" s="19"/>
      <c r="H294" s="71"/>
    </row>
    <row r="295" spans="1:9" hidden="1">
      <c r="A295" s="12"/>
      <c r="B295" s="2" t="s">
        <v>414</v>
      </c>
      <c r="C295" s="11">
        <v>0</v>
      </c>
      <c r="E295" s="25" t="s">
        <v>477</v>
      </c>
      <c r="F295" s="19"/>
      <c r="H295" s="71"/>
    </row>
    <row r="296" spans="1:9" hidden="1">
      <c r="A296" s="2"/>
      <c r="B296" s="2" t="s">
        <v>415</v>
      </c>
      <c r="C296" s="11">
        <v>0</v>
      </c>
      <c r="E296" s="25" t="s">
        <v>477</v>
      </c>
      <c r="F296" s="19"/>
      <c r="H296" s="71"/>
    </row>
    <row r="297" spans="1:9" hidden="1">
      <c r="A297" s="12"/>
      <c r="B297" s="2" t="s">
        <v>416</v>
      </c>
      <c r="C297" s="11">
        <v>0</v>
      </c>
      <c r="D297" s="1"/>
      <c r="E297" s="25" t="s">
        <v>477</v>
      </c>
      <c r="F297" s="19"/>
      <c r="H297" s="71"/>
    </row>
    <row r="298" spans="1:9" hidden="1">
      <c r="A298" s="12"/>
      <c r="B298" s="2" t="s">
        <v>417</v>
      </c>
      <c r="C298" s="11">
        <v>0</v>
      </c>
      <c r="D298" s="1"/>
      <c r="E298" s="25" t="s">
        <v>477</v>
      </c>
      <c r="F298" s="19"/>
      <c r="H298" s="71"/>
    </row>
    <row r="299" spans="1:9" hidden="1">
      <c r="A299" s="12"/>
      <c r="B299" s="2" t="s">
        <v>77</v>
      </c>
      <c r="C299" s="13">
        <f>SUM(C287:C298)</f>
        <v>0</v>
      </c>
      <c r="D299" s="1"/>
      <c r="E299" s="19"/>
      <c r="H299" s="71"/>
    </row>
    <row r="300" spans="1:9" hidden="1">
      <c r="A300" s="12"/>
      <c r="B300" s="2"/>
      <c r="C300" s="11"/>
      <c r="D300" s="1"/>
      <c r="E300" s="19"/>
      <c r="H300" s="71"/>
    </row>
    <row r="301" spans="1:9" hidden="1">
      <c r="A301" s="12"/>
      <c r="B301" s="2" t="s">
        <v>360</v>
      </c>
      <c r="C301" s="17">
        <f>C299+C284+C269+C254+C239+C224+C209</f>
        <v>0</v>
      </c>
      <c r="D301" s="1"/>
      <c r="E301" s="19"/>
      <c r="H301" s="71"/>
    </row>
    <row r="302" spans="1:9" hidden="1">
      <c r="A302" s="12"/>
      <c r="B302" s="2"/>
      <c r="C302" s="14"/>
      <c r="E302" s="19"/>
      <c r="H302" s="71"/>
    </row>
    <row r="303" spans="1:9" hidden="1">
      <c r="A303" s="4" t="s">
        <v>457</v>
      </c>
      <c r="B303" s="1" t="s">
        <v>361</v>
      </c>
      <c r="C303" s="11"/>
      <c r="D303" s="1"/>
      <c r="E303" s="19"/>
      <c r="H303" s="71"/>
    </row>
    <row r="304" spans="1:9" hidden="1">
      <c r="A304" s="12"/>
      <c r="B304" s="2" t="s">
        <v>346</v>
      </c>
      <c r="C304" s="11">
        <v>0</v>
      </c>
      <c r="D304" s="1"/>
      <c r="E304" s="25" t="s">
        <v>450</v>
      </c>
      <c r="F304" s="25"/>
      <c r="H304" s="71"/>
      <c r="I304" s="71"/>
    </row>
    <row r="305" spans="1:9" hidden="1">
      <c r="A305" s="12"/>
      <c r="B305" s="2" t="s">
        <v>347</v>
      </c>
      <c r="C305" s="11">
        <v>0</v>
      </c>
      <c r="E305" s="25" t="s">
        <v>450</v>
      </c>
      <c r="F305" s="25"/>
      <c r="H305" s="71"/>
      <c r="I305" s="71"/>
    </row>
    <row r="306" spans="1:9" hidden="1">
      <c r="A306" s="2"/>
      <c r="B306" s="2" t="s">
        <v>348</v>
      </c>
      <c r="C306" s="11">
        <v>0</v>
      </c>
      <c r="E306" s="25" t="s">
        <v>450</v>
      </c>
      <c r="F306" s="25"/>
      <c r="H306" s="71"/>
      <c r="I306" s="71"/>
    </row>
    <row r="307" spans="1:9" hidden="1">
      <c r="A307" s="12"/>
      <c r="B307" s="2" t="s">
        <v>349</v>
      </c>
      <c r="C307" s="11">
        <v>0</v>
      </c>
      <c r="D307" s="1"/>
      <c r="E307" s="25" t="s">
        <v>450</v>
      </c>
      <c r="F307" s="25"/>
      <c r="H307" s="71"/>
      <c r="I307" s="71"/>
    </row>
    <row r="308" spans="1:9" hidden="1">
      <c r="A308" s="12"/>
      <c r="B308" s="2" t="s">
        <v>350</v>
      </c>
      <c r="C308" s="11">
        <v>0</v>
      </c>
      <c r="D308" s="1"/>
      <c r="E308" s="25" t="s">
        <v>450</v>
      </c>
      <c r="F308" s="25"/>
      <c r="H308" s="71"/>
      <c r="I308" s="71"/>
    </row>
    <row r="309" spans="1:9" hidden="1">
      <c r="A309" s="12"/>
      <c r="B309" s="2" t="s">
        <v>351</v>
      </c>
      <c r="C309" s="11">
        <v>0</v>
      </c>
      <c r="D309" s="1"/>
      <c r="E309" s="25" t="s">
        <v>450</v>
      </c>
      <c r="F309" s="25"/>
      <c r="H309" s="71"/>
      <c r="I309" s="77"/>
    </row>
    <row r="310" spans="1:9" hidden="1">
      <c r="A310" s="12"/>
      <c r="B310" s="2" t="s">
        <v>352</v>
      </c>
      <c r="C310" s="11">
        <v>0</v>
      </c>
      <c r="D310" s="1"/>
      <c r="E310" s="25" t="s">
        <v>450</v>
      </c>
      <c r="F310" s="25"/>
      <c r="H310" s="71"/>
      <c r="I310" s="77"/>
    </row>
    <row r="311" spans="1:9" hidden="1">
      <c r="A311" s="12"/>
      <c r="B311" s="2" t="s">
        <v>353</v>
      </c>
      <c r="C311" s="11">
        <v>0</v>
      </c>
      <c r="D311" s="1"/>
      <c r="E311" s="25" t="s">
        <v>450</v>
      </c>
      <c r="F311" s="25"/>
      <c r="H311" s="71"/>
      <c r="I311" s="77"/>
    </row>
    <row r="312" spans="1:9" hidden="1">
      <c r="A312" s="12"/>
      <c r="B312" s="2" t="s">
        <v>414</v>
      </c>
      <c r="C312" s="11">
        <v>0</v>
      </c>
      <c r="E312" s="25" t="s">
        <v>450</v>
      </c>
      <c r="F312" s="25"/>
      <c r="H312" s="71"/>
      <c r="I312" s="71"/>
    </row>
    <row r="313" spans="1:9" hidden="1">
      <c r="A313" s="12"/>
      <c r="B313" s="2" t="s">
        <v>415</v>
      </c>
      <c r="C313" s="11">
        <v>0</v>
      </c>
      <c r="D313" s="1"/>
      <c r="E313" s="25" t="s">
        <v>450</v>
      </c>
      <c r="F313" s="25"/>
      <c r="H313" s="71"/>
      <c r="I313" s="71"/>
    </row>
    <row r="314" spans="1:9" hidden="1">
      <c r="A314" s="12"/>
      <c r="B314" s="2" t="s">
        <v>416</v>
      </c>
      <c r="C314" s="11">
        <v>0</v>
      </c>
      <c r="D314" s="1"/>
      <c r="E314" s="25" t="s">
        <v>450</v>
      </c>
      <c r="F314" s="25"/>
      <c r="H314" s="71"/>
      <c r="I314" s="77"/>
    </row>
    <row r="315" spans="1:9" hidden="1">
      <c r="A315" s="12"/>
      <c r="B315" s="2" t="s">
        <v>417</v>
      </c>
      <c r="C315" s="11">
        <v>0</v>
      </c>
      <c r="E315" s="25" t="s">
        <v>450</v>
      </c>
      <c r="F315" s="25"/>
      <c r="H315" s="71"/>
      <c r="I315" s="77"/>
    </row>
    <row r="316" spans="1:9" hidden="1">
      <c r="A316" s="2"/>
      <c r="B316" s="2" t="s">
        <v>77</v>
      </c>
      <c r="C316" s="18">
        <f>SUM(C304:C315)</f>
        <v>0</v>
      </c>
      <c r="E316" s="19"/>
      <c r="H316" s="71"/>
    </row>
    <row r="317" spans="1:9" hidden="1">
      <c r="A317" s="12"/>
      <c r="B317" s="2"/>
      <c r="C317" s="14"/>
      <c r="E317" s="19"/>
      <c r="H317" s="71"/>
    </row>
    <row r="318" spans="1:9" hidden="1">
      <c r="A318" s="4" t="s">
        <v>457</v>
      </c>
      <c r="B318" s="4" t="s">
        <v>478</v>
      </c>
      <c r="C318" s="14"/>
      <c r="E318" s="19"/>
      <c r="H318" s="71"/>
    </row>
    <row r="319" spans="1:9" hidden="1">
      <c r="A319" s="12"/>
      <c r="B319" s="2" t="s">
        <v>346</v>
      </c>
      <c r="C319" s="11">
        <v>0</v>
      </c>
      <c r="E319" s="19" t="s">
        <v>454</v>
      </c>
      <c r="F319" s="25"/>
      <c r="H319" s="71"/>
      <c r="I319" s="77"/>
    </row>
    <row r="320" spans="1:9" hidden="1">
      <c r="A320" s="12"/>
      <c r="B320" s="2" t="s">
        <v>347</v>
      </c>
      <c r="C320" s="11">
        <v>0</v>
      </c>
      <c r="E320" s="19" t="s">
        <v>454</v>
      </c>
      <c r="F320" s="25"/>
      <c r="H320" s="71"/>
      <c r="I320" s="77"/>
    </row>
    <row r="321" spans="1:9" hidden="1">
      <c r="A321" s="12"/>
      <c r="B321" s="2" t="s">
        <v>348</v>
      </c>
      <c r="C321" s="11">
        <v>0</v>
      </c>
      <c r="E321" s="19" t="s">
        <v>454</v>
      </c>
      <c r="F321" s="25"/>
      <c r="H321" s="71"/>
      <c r="I321" s="77"/>
    </row>
    <row r="322" spans="1:9" hidden="1">
      <c r="A322" s="12"/>
      <c r="B322" s="2" t="s">
        <v>349</v>
      </c>
      <c r="C322" s="11">
        <v>0</v>
      </c>
      <c r="E322" s="19" t="s">
        <v>454</v>
      </c>
      <c r="F322" s="25"/>
      <c r="H322" s="71"/>
      <c r="I322" s="77"/>
    </row>
    <row r="323" spans="1:9" hidden="1">
      <c r="A323" s="12"/>
      <c r="B323" s="2" t="s">
        <v>350</v>
      </c>
      <c r="C323" s="11">
        <v>0</v>
      </c>
      <c r="E323" s="19" t="s">
        <v>454</v>
      </c>
      <c r="F323" s="25"/>
      <c r="H323" s="71"/>
      <c r="I323" s="77"/>
    </row>
    <row r="324" spans="1:9" hidden="1">
      <c r="A324" s="12"/>
      <c r="B324" s="2" t="s">
        <v>351</v>
      </c>
      <c r="C324" s="11">
        <v>0</v>
      </c>
      <c r="E324" s="19" t="s">
        <v>454</v>
      </c>
      <c r="F324" s="25"/>
      <c r="H324" s="71"/>
      <c r="I324" s="77"/>
    </row>
    <row r="325" spans="1:9" hidden="1">
      <c r="A325" s="12"/>
      <c r="B325" s="2" t="s">
        <v>352</v>
      </c>
      <c r="C325" s="11">
        <v>0</v>
      </c>
      <c r="E325" s="19" t="s">
        <v>454</v>
      </c>
      <c r="F325" s="25"/>
      <c r="H325" s="71"/>
      <c r="I325" s="77"/>
    </row>
    <row r="326" spans="1:9" hidden="1">
      <c r="A326" s="12"/>
      <c r="B326" s="2" t="s">
        <v>353</v>
      </c>
      <c r="C326" s="11">
        <v>0</v>
      </c>
      <c r="E326" s="19" t="s">
        <v>454</v>
      </c>
      <c r="F326" s="25"/>
      <c r="H326" s="71"/>
      <c r="I326" s="77"/>
    </row>
    <row r="327" spans="1:9" hidden="1">
      <c r="A327" s="12"/>
      <c r="B327" s="2" t="s">
        <v>414</v>
      </c>
      <c r="C327" s="11">
        <v>0</v>
      </c>
      <c r="E327" s="19" t="s">
        <v>454</v>
      </c>
      <c r="F327" s="25"/>
      <c r="H327" s="71"/>
      <c r="I327" s="77"/>
    </row>
    <row r="328" spans="1:9" hidden="1">
      <c r="A328" s="12"/>
      <c r="B328" s="2" t="s">
        <v>415</v>
      </c>
      <c r="C328" s="11">
        <v>0</v>
      </c>
      <c r="E328" s="19" t="s">
        <v>454</v>
      </c>
      <c r="F328" s="25"/>
      <c r="H328" s="71"/>
      <c r="I328" s="77"/>
    </row>
    <row r="329" spans="1:9" hidden="1">
      <c r="A329" s="12"/>
      <c r="B329" s="2" t="s">
        <v>416</v>
      </c>
      <c r="C329" s="11">
        <v>0</v>
      </c>
      <c r="E329" s="19" t="s">
        <v>454</v>
      </c>
      <c r="F329" s="25"/>
      <c r="H329" s="71"/>
      <c r="I329" s="77"/>
    </row>
    <row r="330" spans="1:9" hidden="1">
      <c r="A330" s="12"/>
      <c r="B330" s="2" t="s">
        <v>417</v>
      </c>
      <c r="C330" s="11">
        <v>0</v>
      </c>
      <c r="E330" s="19" t="s">
        <v>454</v>
      </c>
      <c r="F330" s="25"/>
      <c r="H330" s="71"/>
      <c r="I330" s="77"/>
    </row>
    <row r="331" spans="1:9" hidden="1">
      <c r="A331" s="12"/>
      <c r="B331" s="2" t="s">
        <v>77</v>
      </c>
      <c r="C331" s="13">
        <f>SUM(C319:C330)</f>
        <v>0</v>
      </c>
      <c r="E331" s="19"/>
      <c r="H331" s="71"/>
    </row>
    <row r="332" spans="1:9" hidden="1">
      <c r="A332" s="12"/>
      <c r="B332" s="2"/>
      <c r="C332" s="14"/>
      <c r="E332" s="19"/>
      <c r="H332" s="71"/>
    </row>
    <row r="333" spans="1:9" hidden="1">
      <c r="A333" s="4" t="s">
        <v>457</v>
      </c>
      <c r="B333" s="5" t="s">
        <v>476</v>
      </c>
      <c r="C333" s="14"/>
      <c r="E333" s="19"/>
      <c r="H333" s="71"/>
    </row>
    <row r="334" spans="1:9" hidden="1">
      <c r="A334" s="12"/>
      <c r="B334" s="2" t="s">
        <v>346</v>
      </c>
      <c r="C334" s="11">
        <v>0</v>
      </c>
      <c r="E334" s="25" t="s">
        <v>483</v>
      </c>
      <c r="F334" s="141"/>
      <c r="G334" s="72" t="s">
        <v>568</v>
      </c>
      <c r="H334" s="71"/>
    </row>
    <row r="335" spans="1:9" hidden="1">
      <c r="A335" s="12"/>
      <c r="B335" s="2" t="s">
        <v>347</v>
      </c>
      <c r="C335" s="11">
        <v>0</v>
      </c>
      <c r="E335" s="25" t="s">
        <v>483</v>
      </c>
      <c r="F335" s="141"/>
      <c r="G335" s="72" t="s">
        <v>569</v>
      </c>
      <c r="H335" s="71"/>
    </row>
    <row r="336" spans="1:9" hidden="1">
      <c r="A336" s="12"/>
      <c r="B336" s="2" t="s">
        <v>348</v>
      </c>
      <c r="C336" s="11">
        <v>0</v>
      </c>
      <c r="E336" s="25" t="s">
        <v>483</v>
      </c>
      <c r="F336" s="141"/>
      <c r="G336" s="72" t="s">
        <v>570</v>
      </c>
      <c r="H336" s="71"/>
    </row>
    <row r="337" spans="1:8" hidden="1">
      <c r="A337" s="12"/>
      <c r="B337" s="2" t="s">
        <v>349</v>
      </c>
      <c r="C337" s="11">
        <v>0</v>
      </c>
      <c r="E337" s="25" t="s">
        <v>483</v>
      </c>
      <c r="F337" s="141"/>
      <c r="G337" s="72" t="s">
        <v>571</v>
      </c>
      <c r="H337" s="71"/>
    </row>
    <row r="338" spans="1:8" hidden="1">
      <c r="A338" s="12"/>
      <c r="B338" s="2" t="s">
        <v>350</v>
      </c>
      <c r="C338" s="11">
        <v>0</v>
      </c>
      <c r="E338" s="25" t="s">
        <v>483</v>
      </c>
      <c r="F338" s="141"/>
      <c r="G338" s="72" t="s">
        <v>572</v>
      </c>
      <c r="H338" s="71"/>
    </row>
    <row r="339" spans="1:8" hidden="1">
      <c r="A339" s="12"/>
      <c r="B339" s="2" t="s">
        <v>351</v>
      </c>
      <c r="C339" s="11">
        <v>0</v>
      </c>
      <c r="E339" s="25" t="s">
        <v>483</v>
      </c>
      <c r="F339" s="141"/>
      <c r="G339" s="72" t="s">
        <v>573</v>
      </c>
      <c r="H339" s="71"/>
    </row>
    <row r="340" spans="1:8" hidden="1">
      <c r="A340" s="12"/>
      <c r="B340" s="2" t="s">
        <v>352</v>
      </c>
      <c r="C340" s="11">
        <v>0</v>
      </c>
      <c r="E340" s="25" t="s">
        <v>483</v>
      </c>
      <c r="F340" s="141"/>
      <c r="G340" s="72" t="s">
        <v>574</v>
      </c>
      <c r="H340" s="71"/>
    </row>
    <row r="341" spans="1:8" hidden="1">
      <c r="A341" s="12"/>
      <c r="B341" s="2" t="s">
        <v>353</v>
      </c>
      <c r="C341" s="11">
        <v>0</v>
      </c>
      <c r="E341" s="25" t="s">
        <v>483</v>
      </c>
      <c r="F341" s="141"/>
      <c r="G341" s="72" t="s">
        <v>575</v>
      </c>
      <c r="H341" s="71"/>
    </row>
    <row r="342" spans="1:8" hidden="1">
      <c r="A342" s="2"/>
      <c r="B342" s="2" t="s">
        <v>414</v>
      </c>
      <c r="C342" s="11">
        <v>0</v>
      </c>
      <c r="E342" s="25" t="s">
        <v>483</v>
      </c>
      <c r="F342" s="141"/>
      <c r="G342" s="72" t="s">
        <v>576</v>
      </c>
      <c r="H342" s="71"/>
    </row>
    <row r="343" spans="1:8" hidden="1">
      <c r="A343" s="16"/>
      <c r="B343" s="2" t="s">
        <v>415</v>
      </c>
      <c r="C343" s="11">
        <v>0</v>
      </c>
      <c r="D343" s="1"/>
      <c r="E343" s="25" t="s">
        <v>483</v>
      </c>
      <c r="F343" s="141"/>
      <c r="G343" s="72" t="s">
        <v>577</v>
      </c>
      <c r="H343" s="71"/>
    </row>
    <row r="344" spans="1:8" hidden="1">
      <c r="A344" s="16"/>
      <c r="B344" s="2" t="s">
        <v>416</v>
      </c>
      <c r="C344" s="11">
        <v>0</v>
      </c>
      <c r="D344" s="1"/>
      <c r="E344" s="25" t="s">
        <v>483</v>
      </c>
      <c r="F344" s="141"/>
      <c r="G344" s="72" t="s">
        <v>578</v>
      </c>
      <c r="H344" s="71"/>
    </row>
    <row r="345" spans="1:8" hidden="1">
      <c r="A345" s="16"/>
      <c r="B345" s="2" t="s">
        <v>417</v>
      </c>
      <c r="C345" s="11">
        <v>0</v>
      </c>
      <c r="D345" s="1"/>
      <c r="E345" s="25" t="s">
        <v>483</v>
      </c>
      <c r="F345" s="141"/>
      <c r="G345" s="72" t="s">
        <v>579</v>
      </c>
      <c r="H345" s="71"/>
    </row>
    <row r="346" spans="1:8" hidden="1">
      <c r="A346" s="16"/>
      <c r="B346" s="2" t="s">
        <v>77</v>
      </c>
      <c r="C346" s="13">
        <f>SUM(C334:C345)</f>
        <v>0</v>
      </c>
      <c r="D346" s="1"/>
      <c r="E346" s="25"/>
      <c r="F346" s="19"/>
      <c r="H346" s="71"/>
    </row>
    <row r="347" spans="1:8" hidden="1">
      <c r="A347" s="12"/>
      <c r="B347" s="35"/>
      <c r="C347" s="36"/>
      <c r="E347" s="19"/>
      <c r="H347" s="71"/>
    </row>
    <row r="348" spans="1:8" hidden="1">
      <c r="A348" s="12"/>
      <c r="B348" s="12"/>
      <c r="C348" s="12"/>
      <c r="E348" s="19"/>
      <c r="H348" s="71"/>
    </row>
    <row r="349" spans="1:8" hidden="1">
      <c r="A349" s="4" t="s">
        <v>456</v>
      </c>
      <c r="B349" s="19" t="s">
        <v>362</v>
      </c>
      <c r="C349" s="1"/>
      <c r="E349" s="19"/>
      <c r="H349" s="71"/>
    </row>
    <row r="350" spans="1:8" hidden="1">
      <c r="A350" s="16"/>
      <c r="B350" s="2" t="s">
        <v>346</v>
      </c>
      <c r="C350" s="11">
        <v>0</v>
      </c>
      <c r="D350" s="1"/>
      <c r="E350" s="25" t="s">
        <v>449</v>
      </c>
      <c r="F350" s="25"/>
      <c r="H350" s="71"/>
    </row>
    <row r="351" spans="1:8" hidden="1">
      <c r="A351" s="16"/>
      <c r="B351" s="2" t="s">
        <v>347</v>
      </c>
      <c r="C351" s="11">
        <v>0</v>
      </c>
      <c r="D351" s="1"/>
      <c r="E351" s="25" t="s">
        <v>449</v>
      </c>
      <c r="F351" s="25"/>
      <c r="H351" s="71"/>
    </row>
    <row r="352" spans="1:8" hidden="1">
      <c r="A352" s="16"/>
      <c r="B352" s="2" t="s">
        <v>348</v>
      </c>
      <c r="C352" s="11">
        <v>0</v>
      </c>
      <c r="D352" s="1"/>
      <c r="E352" s="25" t="s">
        <v>449</v>
      </c>
      <c r="F352" s="25"/>
      <c r="H352" s="71"/>
    </row>
    <row r="353" spans="1:8" hidden="1">
      <c r="A353" s="16"/>
      <c r="B353" s="2" t="s">
        <v>349</v>
      </c>
      <c r="C353" s="11">
        <v>0</v>
      </c>
      <c r="D353" s="1"/>
      <c r="E353" s="25" t="s">
        <v>449</v>
      </c>
      <c r="F353" s="25"/>
      <c r="H353" s="71"/>
    </row>
    <row r="354" spans="1:8" hidden="1">
      <c r="A354" s="12"/>
      <c r="B354" s="2" t="s">
        <v>350</v>
      </c>
      <c r="C354" s="11">
        <v>0</v>
      </c>
      <c r="E354" s="25" t="s">
        <v>449</v>
      </c>
      <c r="F354" s="25"/>
      <c r="H354" s="71"/>
    </row>
    <row r="355" spans="1:8" hidden="1">
      <c r="A355" s="2"/>
      <c r="B355" s="2" t="s">
        <v>351</v>
      </c>
      <c r="C355" s="11">
        <v>0</v>
      </c>
      <c r="E355" s="25" t="s">
        <v>449</v>
      </c>
      <c r="F355" s="25"/>
      <c r="H355" s="71"/>
    </row>
    <row r="356" spans="1:8" hidden="1">
      <c r="A356" s="16"/>
      <c r="B356" s="2" t="s">
        <v>352</v>
      </c>
      <c r="C356" s="11">
        <v>0</v>
      </c>
      <c r="D356" s="1"/>
      <c r="E356" s="25" t="s">
        <v>449</v>
      </c>
      <c r="F356" s="25"/>
      <c r="H356" s="71"/>
    </row>
    <row r="357" spans="1:8" hidden="1">
      <c r="A357" s="16"/>
      <c r="B357" s="2" t="s">
        <v>353</v>
      </c>
      <c r="C357" s="11">
        <v>0</v>
      </c>
      <c r="D357" s="1"/>
      <c r="E357" s="25" t="s">
        <v>449</v>
      </c>
      <c r="F357" s="25"/>
      <c r="H357" s="71"/>
    </row>
    <row r="358" spans="1:8" hidden="1">
      <c r="A358" s="16"/>
      <c r="B358" s="2" t="s">
        <v>414</v>
      </c>
      <c r="C358" s="11">
        <v>0</v>
      </c>
      <c r="D358" s="1"/>
      <c r="E358" s="25" t="s">
        <v>449</v>
      </c>
      <c r="F358" s="25"/>
      <c r="H358" s="71"/>
    </row>
    <row r="359" spans="1:8" hidden="1">
      <c r="A359" s="16"/>
      <c r="B359" s="2" t="s">
        <v>415</v>
      </c>
      <c r="C359" s="11">
        <v>0</v>
      </c>
      <c r="D359" s="1"/>
      <c r="E359" s="25" t="s">
        <v>449</v>
      </c>
      <c r="F359" s="25"/>
      <c r="H359" s="71"/>
    </row>
    <row r="360" spans="1:8" hidden="1">
      <c r="A360" s="12"/>
      <c r="B360" s="2" t="s">
        <v>416</v>
      </c>
      <c r="C360" s="11">
        <v>0</v>
      </c>
      <c r="E360" s="25" t="s">
        <v>449</v>
      </c>
      <c r="F360" s="25"/>
      <c r="H360" s="71"/>
    </row>
    <row r="361" spans="1:8" hidden="1">
      <c r="A361" s="2"/>
      <c r="B361" s="2" t="s">
        <v>417</v>
      </c>
      <c r="C361" s="11">
        <v>0</v>
      </c>
      <c r="E361" s="25" t="s">
        <v>449</v>
      </c>
      <c r="F361" s="25"/>
      <c r="H361" s="71"/>
    </row>
    <row r="362" spans="1:8" hidden="1">
      <c r="A362" s="12"/>
      <c r="B362" s="2" t="s">
        <v>77</v>
      </c>
      <c r="C362" s="13">
        <f>SUM(C350:C361)</f>
        <v>0</v>
      </c>
      <c r="D362" s="1"/>
      <c r="E362" s="19"/>
      <c r="H362" s="71"/>
    </row>
    <row r="363" spans="1:8">
      <c r="A363" s="12"/>
      <c r="E363" s="19"/>
      <c r="H363" s="71"/>
    </row>
    <row r="364" spans="1:8">
      <c r="A364" s="2"/>
      <c r="B364" s="20"/>
      <c r="C364" s="10"/>
      <c r="D364" s="1"/>
      <c r="E364" s="19"/>
      <c r="H364" s="71"/>
    </row>
    <row r="365" spans="1:8">
      <c r="A365" s="4" t="s">
        <v>469</v>
      </c>
      <c r="B365" s="2" t="s">
        <v>367</v>
      </c>
      <c r="C365" s="191">
        <v>0.104</v>
      </c>
      <c r="D365" s="1"/>
      <c r="E365" s="19" t="s">
        <v>443</v>
      </c>
      <c r="H365" s="71"/>
    </row>
    <row r="366" spans="1:8">
      <c r="A366" s="2"/>
      <c r="B366" s="2"/>
      <c r="C366" s="21"/>
      <c r="D366" s="1"/>
      <c r="E366" s="19"/>
      <c r="H366" s="71"/>
    </row>
    <row r="367" spans="1:8">
      <c r="A367" s="2"/>
      <c r="B367" s="2"/>
      <c r="C367" s="22"/>
      <c r="D367" s="1"/>
      <c r="E367" s="19"/>
      <c r="H367" s="71"/>
    </row>
    <row r="368" spans="1:8">
      <c r="A368" s="2"/>
      <c r="B368" s="2" t="s">
        <v>10</v>
      </c>
      <c r="C368" s="14">
        <v>12</v>
      </c>
      <c r="D368" s="1"/>
      <c r="E368" s="19"/>
      <c r="H368" s="71"/>
    </row>
    <row r="369" spans="1:8">
      <c r="A369" s="2"/>
      <c r="B369" s="3" t="s">
        <v>11</v>
      </c>
      <c r="C369" s="3">
        <v>31</v>
      </c>
      <c r="D369" s="1"/>
      <c r="E369" s="19"/>
      <c r="H369" s="71"/>
    </row>
    <row r="370" spans="1:8">
      <c r="A370" s="2"/>
      <c r="B370" s="2" t="s">
        <v>12</v>
      </c>
      <c r="C370" s="143">
        <v>2018</v>
      </c>
      <c r="D370" s="1"/>
      <c r="E370" s="19" t="s">
        <v>443</v>
      </c>
      <c r="H370" s="71"/>
    </row>
    <row r="371" spans="1:8">
      <c r="A371" s="2"/>
      <c r="D371" s="1"/>
      <c r="E371" s="19"/>
      <c r="H371" s="71"/>
    </row>
    <row r="372" spans="1:8">
      <c r="A372" s="2"/>
      <c r="D372" s="1"/>
      <c r="E372" s="19"/>
      <c r="H372" s="71"/>
    </row>
    <row r="373" spans="1:8">
      <c r="A373" s="4" t="s">
        <v>457</v>
      </c>
      <c r="B373" s="3" t="s">
        <v>6</v>
      </c>
      <c r="C373" s="144">
        <v>0</v>
      </c>
      <c r="D373" s="5"/>
      <c r="E373" s="25"/>
      <c r="F373" s="25"/>
      <c r="H373" s="71"/>
    </row>
    <row r="374" spans="1:8">
      <c r="A374" s="12"/>
      <c r="H374" s="71"/>
    </row>
    <row r="375" spans="1:8">
      <c r="A375" s="2"/>
      <c r="H375" s="71"/>
    </row>
    <row r="376" spans="1:8">
      <c r="A376" s="2"/>
      <c r="B376" s="28" t="s">
        <v>21</v>
      </c>
      <c r="C376" s="29"/>
      <c r="D376" s="1"/>
      <c r="H376" s="71"/>
    </row>
    <row r="377" spans="1:8">
      <c r="A377" s="4" t="s">
        <v>461</v>
      </c>
      <c r="B377" s="30" t="s">
        <v>22</v>
      </c>
      <c r="C377" s="145">
        <v>81906440.430000007</v>
      </c>
      <c r="D377" s="146" t="s">
        <v>1147</v>
      </c>
      <c r="E377" s="25" t="s">
        <v>480</v>
      </c>
      <c r="F377" s="25" t="s">
        <v>1148</v>
      </c>
      <c r="H377" s="71"/>
    </row>
    <row r="378" spans="1:8">
      <c r="A378" s="4" t="s">
        <v>461</v>
      </c>
      <c r="B378" s="4" t="s">
        <v>363</v>
      </c>
      <c r="C378" s="145">
        <v>3316166220</v>
      </c>
      <c r="D378" s="146" t="str">
        <f>D377</f>
        <v>December, 2018</v>
      </c>
      <c r="E378" s="25" t="s">
        <v>441</v>
      </c>
      <c r="F378" s="19" t="s">
        <v>949</v>
      </c>
      <c r="H378" s="71"/>
    </row>
    <row r="379" spans="1:8">
      <c r="A379" s="4" t="s">
        <v>461</v>
      </c>
      <c r="B379" s="2" t="s">
        <v>364</v>
      </c>
      <c r="C379" s="145">
        <v>52714082</v>
      </c>
      <c r="D379" s="146" t="str">
        <f>D377</f>
        <v>December, 2018</v>
      </c>
      <c r="E379" s="25" t="s">
        <v>492</v>
      </c>
      <c r="F379" s="19" t="s">
        <v>589</v>
      </c>
      <c r="H379" s="71"/>
    </row>
    <row r="380" spans="1:8">
      <c r="A380" s="4" t="s">
        <v>461</v>
      </c>
      <c r="B380" s="3" t="s">
        <v>280</v>
      </c>
      <c r="C380" s="145">
        <v>1547598625</v>
      </c>
      <c r="D380" s="146" t="str">
        <f>D377</f>
        <v>December, 2018</v>
      </c>
      <c r="E380" s="25" t="s">
        <v>482</v>
      </c>
      <c r="F380" s="19" t="s">
        <v>1119</v>
      </c>
      <c r="H380" s="71"/>
    </row>
    <row r="381" spans="1:8">
      <c r="A381" s="4" t="s">
        <v>461</v>
      </c>
      <c r="B381" s="3" t="s">
        <v>283</v>
      </c>
      <c r="C381" s="145">
        <v>4459477.4000000004</v>
      </c>
      <c r="D381" s="146" t="str">
        <f>D377</f>
        <v>December, 2018</v>
      </c>
      <c r="E381" s="25" t="s">
        <v>448</v>
      </c>
      <c r="F381" s="25" t="s">
        <v>1120</v>
      </c>
      <c r="H381" s="71"/>
    </row>
    <row r="382" spans="1:8">
      <c r="A382" s="4" t="s">
        <v>464</v>
      </c>
      <c r="B382" s="3" t="s">
        <v>421</v>
      </c>
      <c r="C382" s="145">
        <v>21341228.600000001</v>
      </c>
      <c r="D382" s="146" t="str">
        <f>D377</f>
        <v>December, 2018</v>
      </c>
      <c r="E382" s="25" t="s">
        <v>480</v>
      </c>
      <c r="F382" s="25" t="s">
        <v>1145</v>
      </c>
      <c r="H382" s="71"/>
    </row>
    <row r="385" spans="1:4">
      <c r="D385" s="1"/>
    </row>
    <row r="386" spans="1:4">
      <c r="D386" s="1"/>
    </row>
    <row r="387" spans="1:4">
      <c r="A387" s="2"/>
      <c r="D387" s="1"/>
    </row>
    <row r="404" spans="4:4">
      <c r="D404" s="1"/>
    </row>
  </sheetData>
  <mergeCells count="2">
    <mergeCell ref="E4:F4"/>
    <mergeCell ref="E3:F3"/>
  </mergeCells>
  <phoneticPr fontId="0" type="noConversion"/>
  <conditionalFormatting sqref="H39:H42 H29:H37 H7:H27 H44:H382">
    <cfRule type="cellIs" dxfId="0" priority="1" stopIfTrue="1" operator="equal">
      <formula>FALSE</formula>
    </cfRule>
  </conditionalFormatting>
  <printOptions horizontalCentered="1"/>
  <pageMargins left="0.25" right="0.25" top="1" bottom="1" header="0.5" footer="0.5"/>
  <pageSetup scale="64" orientation="portrait" r:id="rId1"/>
  <headerFooter alignWithMargins="0">
    <oddFooter>&amp;C&amp;"Arial,Regular"&amp;9Page &amp;P of  &amp;N&amp;R&amp;"Arial,Regular"&amp;9&amp;D
&amp;F
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view="pageBreakPreview" zoomScale="60" zoomScaleNormal="100" workbookViewId="0">
      <selection activeCell="B12" sqref="B12"/>
    </sheetView>
  </sheetViews>
  <sheetFormatPr defaultColWidth="9" defaultRowHeight="12"/>
  <cols>
    <col min="1" max="1" width="6.625" style="37" customWidth="1"/>
    <col min="2" max="2" width="43.75" style="37" customWidth="1"/>
    <col min="3" max="3" width="12.375" style="37" customWidth="1"/>
    <col min="4" max="4" width="9" style="37"/>
    <col min="5" max="5" width="12.125" style="37" customWidth="1"/>
    <col min="6" max="16384" width="9" style="37"/>
  </cols>
  <sheetData>
    <row r="1" spans="1:5" ht="12.75">
      <c r="A1" s="2" t="s">
        <v>43</v>
      </c>
      <c r="B1"/>
      <c r="C1" s="3"/>
      <c r="E1" s="24" t="s">
        <v>975</v>
      </c>
    </row>
    <row r="2" spans="1:5" ht="12.75">
      <c r="A2" s="2" t="s">
        <v>55</v>
      </c>
      <c r="B2" s="3"/>
      <c r="C2" s="3"/>
      <c r="D2" s="3"/>
      <c r="E2" s="24" t="s">
        <v>44</v>
      </c>
    </row>
    <row r="3" spans="1:5" ht="12.75">
      <c r="A3" s="3"/>
      <c r="B3" s="3"/>
      <c r="C3" s="3"/>
      <c r="D3" s="3"/>
      <c r="E3" s="41" t="s">
        <v>969</v>
      </c>
    </row>
    <row r="4" spans="1:5" ht="12.75">
      <c r="A4" s="1" t="s">
        <v>65</v>
      </c>
      <c r="B4" s="3"/>
      <c r="C4" s="3"/>
      <c r="D4" s="3"/>
      <c r="E4" s="3"/>
    </row>
    <row r="5" spans="1:5" ht="12.75">
      <c r="A5" s="62"/>
      <c r="B5" s="3"/>
      <c r="C5" s="1" t="s">
        <v>66</v>
      </c>
      <c r="D5" s="1" t="s">
        <v>64</v>
      </c>
      <c r="E5" s="1" t="s">
        <v>63</v>
      </c>
    </row>
    <row r="6" spans="1:5" ht="12.75">
      <c r="A6" s="198" t="s">
        <v>74</v>
      </c>
      <c r="B6" s="1" t="s">
        <v>287</v>
      </c>
      <c r="C6" s="1" t="s">
        <v>74</v>
      </c>
      <c r="D6" s="1" t="s">
        <v>75</v>
      </c>
      <c r="E6" s="1" t="s">
        <v>75</v>
      </c>
    </row>
    <row r="7" spans="1:5" ht="12.75">
      <c r="A7" s="1">
        <v>1</v>
      </c>
      <c r="B7" s="198" t="s">
        <v>88</v>
      </c>
      <c r="C7" s="90"/>
      <c r="D7" s="90"/>
      <c r="E7" s="90"/>
    </row>
    <row r="8" spans="1:5" ht="12.75">
      <c r="A8" s="1">
        <f>+A7+1</f>
        <v>2</v>
      </c>
      <c r="B8" s="1" t="s">
        <v>98</v>
      </c>
      <c r="C8" s="3"/>
      <c r="D8" s="3"/>
      <c r="E8" s="3"/>
    </row>
    <row r="9" spans="1:5" ht="12.75">
      <c r="A9" s="1">
        <f t="shared" ref="A9:A17" si="0">+A8+1</f>
        <v>3</v>
      </c>
      <c r="B9" s="2" t="s">
        <v>102</v>
      </c>
      <c r="C9" s="1" t="s">
        <v>103</v>
      </c>
      <c r="D9" s="1" t="s">
        <v>104</v>
      </c>
      <c r="E9" s="1" t="s">
        <v>105</v>
      </c>
    </row>
    <row r="10" spans="1:5" ht="12.75">
      <c r="A10" s="1">
        <f t="shared" si="0"/>
        <v>4</v>
      </c>
      <c r="B10" s="2" t="s">
        <v>111</v>
      </c>
      <c r="C10" s="1" t="s">
        <v>375</v>
      </c>
      <c r="D10" s="1" t="s">
        <v>105</v>
      </c>
      <c r="E10" s="1" t="s">
        <v>104</v>
      </c>
    </row>
    <row r="11" spans="1:5" ht="12.75">
      <c r="A11" s="1">
        <f t="shared" si="0"/>
        <v>5</v>
      </c>
      <c r="B11" s="2" t="s">
        <v>117</v>
      </c>
      <c r="C11" s="1" t="s">
        <v>118</v>
      </c>
      <c r="D11" s="1" t="s">
        <v>104</v>
      </c>
      <c r="E11" s="1" t="s">
        <v>105</v>
      </c>
    </row>
    <row r="12" spans="1:5" ht="12.75">
      <c r="A12" s="1">
        <f t="shared" si="0"/>
        <v>6</v>
      </c>
      <c r="B12" s="2" t="s">
        <v>125</v>
      </c>
      <c r="C12" s="1" t="s">
        <v>126</v>
      </c>
      <c r="D12" s="1" t="s">
        <v>105</v>
      </c>
      <c r="E12" s="1" t="s">
        <v>104</v>
      </c>
    </row>
    <row r="13" spans="1:5" ht="12.75">
      <c r="A13" s="1">
        <f t="shared" si="0"/>
        <v>7</v>
      </c>
      <c r="B13" s="2" t="s">
        <v>132</v>
      </c>
      <c r="C13" s="1" t="s">
        <v>133</v>
      </c>
      <c r="D13" s="1" t="s">
        <v>105</v>
      </c>
      <c r="E13" s="1" t="s">
        <v>104</v>
      </c>
    </row>
    <row r="14" spans="1:5" ht="12.75">
      <c r="A14" s="1">
        <f t="shared" si="0"/>
        <v>8</v>
      </c>
      <c r="B14" s="2" t="s">
        <v>141</v>
      </c>
      <c r="C14" s="1" t="s">
        <v>142</v>
      </c>
      <c r="D14" s="1" t="s">
        <v>104</v>
      </c>
      <c r="E14" s="1" t="s">
        <v>105</v>
      </c>
    </row>
    <row r="15" spans="1:5" ht="12.75">
      <c r="A15" s="1">
        <f t="shared" si="0"/>
        <v>9</v>
      </c>
      <c r="B15" s="2" t="s">
        <v>151</v>
      </c>
      <c r="C15" s="1" t="s">
        <v>152</v>
      </c>
      <c r="D15" s="1" t="s">
        <v>104</v>
      </c>
      <c r="E15" s="1" t="s">
        <v>105</v>
      </c>
    </row>
    <row r="16" spans="1:5" ht="12.75">
      <c r="A16" s="1">
        <f t="shared" si="0"/>
        <v>10</v>
      </c>
      <c r="B16" s="2" t="s">
        <v>387</v>
      </c>
      <c r="C16" s="1" t="s">
        <v>388</v>
      </c>
      <c r="D16" s="1" t="s">
        <v>104</v>
      </c>
      <c r="E16" s="1" t="s">
        <v>105</v>
      </c>
    </row>
    <row r="17" spans="1:5" ht="12.75">
      <c r="A17" s="1">
        <f t="shared" si="0"/>
        <v>11</v>
      </c>
      <c r="B17" s="2" t="s">
        <v>708</v>
      </c>
      <c r="C17" s="1">
        <v>509</v>
      </c>
      <c r="D17" s="1" t="s">
        <v>105</v>
      </c>
      <c r="E17" s="1" t="s">
        <v>104</v>
      </c>
    </row>
    <row r="18" spans="1:5" ht="12.75">
      <c r="A18" s="1">
        <f>+A17+1</f>
        <v>12</v>
      </c>
      <c r="B18" s="2" t="s">
        <v>163</v>
      </c>
      <c r="C18" s="1" t="s">
        <v>164</v>
      </c>
      <c r="D18" s="1" t="s">
        <v>105</v>
      </c>
      <c r="E18" s="1" t="s">
        <v>104</v>
      </c>
    </row>
    <row r="19" spans="1:5" ht="12.75">
      <c r="A19" s="1">
        <f t="shared" ref="A19:A61" si="1">+A18+1</f>
        <v>13</v>
      </c>
      <c r="B19" s="2" t="s">
        <v>169</v>
      </c>
      <c r="C19" s="1" t="s">
        <v>170</v>
      </c>
      <c r="D19" s="1" t="s">
        <v>104</v>
      </c>
      <c r="E19" s="1" t="s">
        <v>105</v>
      </c>
    </row>
    <row r="20" spans="1:5" ht="12.75">
      <c r="A20" s="1">
        <f t="shared" si="1"/>
        <v>14</v>
      </c>
      <c r="B20" s="2" t="s">
        <v>174</v>
      </c>
      <c r="C20" s="1" t="s">
        <v>175</v>
      </c>
      <c r="D20" s="1" t="s">
        <v>105</v>
      </c>
      <c r="E20" s="1" t="s">
        <v>104</v>
      </c>
    </row>
    <row r="21" spans="1:5" ht="12.75">
      <c r="A21" s="1">
        <f t="shared" si="1"/>
        <v>15</v>
      </c>
      <c r="B21" s="2" t="s">
        <v>177</v>
      </c>
      <c r="C21" s="1" t="s">
        <v>178</v>
      </c>
      <c r="D21" s="1" t="s">
        <v>105</v>
      </c>
      <c r="E21" s="1" t="s">
        <v>104</v>
      </c>
    </row>
    <row r="22" spans="1:5" ht="12.75">
      <c r="A22" s="1">
        <f t="shared" si="1"/>
        <v>16</v>
      </c>
      <c r="B22" s="2" t="s">
        <v>185</v>
      </c>
      <c r="C22" s="1" t="s">
        <v>186</v>
      </c>
      <c r="D22" s="1" t="s">
        <v>104</v>
      </c>
      <c r="E22" s="1" t="s">
        <v>105</v>
      </c>
    </row>
    <row r="23" spans="1:5" ht="12.75">
      <c r="A23" s="1">
        <f t="shared" si="1"/>
        <v>17</v>
      </c>
      <c r="B23" s="2" t="s">
        <v>189</v>
      </c>
      <c r="C23" s="3"/>
      <c r="D23" s="3"/>
      <c r="E23" s="3"/>
    </row>
    <row r="24" spans="1:5" ht="12.75">
      <c r="A24" s="1">
        <f t="shared" si="1"/>
        <v>18</v>
      </c>
      <c r="B24" s="1" t="s">
        <v>765</v>
      </c>
      <c r="C24" s="3"/>
      <c r="D24" s="3"/>
      <c r="E24" s="3"/>
    </row>
    <row r="25" spans="1:5" ht="12.75">
      <c r="A25" s="1">
        <f t="shared" si="1"/>
        <v>19</v>
      </c>
      <c r="B25" s="43" t="s">
        <v>102</v>
      </c>
      <c r="C25" s="19">
        <v>517</v>
      </c>
      <c r="D25" s="3"/>
      <c r="E25" s="1" t="s">
        <v>105</v>
      </c>
    </row>
    <row r="26" spans="1:5" ht="12.75">
      <c r="A26" s="1">
        <f t="shared" si="1"/>
        <v>20</v>
      </c>
      <c r="B26" s="43" t="s">
        <v>757</v>
      </c>
      <c r="C26" s="19">
        <v>519</v>
      </c>
      <c r="D26" s="3"/>
      <c r="E26" s="1" t="s">
        <v>105</v>
      </c>
    </row>
    <row r="27" spans="1:5" ht="12.75">
      <c r="A27" s="1">
        <f t="shared" si="1"/>
        <v>21</v>
      </c>
      <c r="B27" s="43" t="s">
        <v>758</v>
      </c>
      <c r="C27" s="19">
        <v>520</v>
      </c>
      <c r="D27" s="3"/>
      <c r="E27" s="1" t="s">
        <v>105</v>
      </c>
    </row>
    <row r="28" spans="1:5" ht="12.75">
      <c r="A28" s="1">
        <f t="shared" si="1"/>
        <v>22</v>
      </c>
      <c r="B28" s="43" t="s">
        <v>125</v>
      </c>
      <c r="C28" s="19">
        <v>521</v>
      </c>
      <c r="D28" s="3"/>
      <c r="E28" s="1" t="s">
        <v>105</v>
      </c>
    </row>
    <row r="29" spans="1:5" ht="12.75">
      <c r="A29" s="1">
        <f t="shared" si="1"/>
        <v>23</v>
      </c>
      <c r="B29" s="43" t="s">
        <v>759</v>
      </c>
      <c r="C29" s="19">
        <v>522</v>
      </c>
      <c r="D29" s="3"/>
      <c r="E29" s="1" t="s">
        <v>105</v>
      </c>
    </row>
    <row r="30" spans="1:5" ht="12.75">
      <c r="A30" s="1">
        <f t="shared" si="1"/>
        <v>24</v>
      </c>
      <c r="B30" s="43" t="s">
        <v>760</v>
      </c>
      <c r="C30" s="19">
        <v>523</v>
      </c>
      <c r="D30" s="3"/>
      <c r="E30" s="1" t="s">
        <v>105</v>
      </c>
    </row>
    <row r="31" spans="1:5" ht="12.75">
      <c r="A31" s="1">
        <f t="shared" si="1"/>
        <v>25</v>
      </c>
      <c r="B31" s="43" t="s">
        <v>761</v>
      </c>
      <c r="C31" s="19">
        <v>524</v>
      </c>
      <c r="D31" s="3"/>
      <c r="E31" s="1" t="s">
        <v>105</v>
      </c>
    </row>
    <row r="32" spans="1:5" ht="12.75">
      <c r="A32" s="1">
        <f t="shared" si="1"/>
        <v>26</v>
      </c>
      <c r="B32" s="43" t="s">
        <v>387</v>
      </c>
      <c r="C32" s="19">
        <v>525</v>
      </c>
      <c r="D32" s="3"/>
      <c r="E32" s="1" t="s">
        <v>105</v>
      </c>
    </row>
    <row r="33" spans="1:5" ht="12.75">
      <c r="A33" s="1">
        <f t="shared" si="1"/>
        <v>27</v>
      </c>
      <c r="B33" s="2" t="s">
        <v>163</v>
      </c>
      <c r="C33" s="19">
        <v>528</v>
      </c>
      <c r="D33" s="1" t="s">
        <v>105</v>
      </c>
      <c r="E33" s="1" t="s">
        <v>272</v>
      </c>
    </row>
    <row r="34" spans="1:5" ht="12.75">
      <c r="A34" s="1">
        <f t="shared" si="1"/>
        <v>28</v>
      </c>
      <c r="B34" s="2" t="s">
        <v>169</v>
      </c>
      <c r="C34" s="19">
        <v>529</v>
      </c>
      <c r="D34" s="3"/>
      <c r="E34" s="1" t="s">
        <v>105</v>
      </c>
    </row>
    <row r="35" spans="1:5" ht="12.75">
      <c r="A35" s="1">
        <f t="shared" si="1"/>
        <v>29</v>
      </c>
      <c r="B35" s="2" t="s">
        <v>762</v>
      </c>
      <c r="C35" s="19">
        <v>530</v>
      </c>
      <c r="D35" s="1" t="s">
        <v>105</v>
      </c>
    </row>
    <row r="36" spans="1:5" ht="12.75">
      <c r="A36" s="1">
        <f t="shared" si="1"/>
        <v>30</v>
      </c>
      <c r="B36" s="2" t="s">
        <v>177</v>
      </c>
      <c r="C36" s="19">
        <v>531</v>
      </c>
      <c r="D36" s="1" t="s">
        <v>105</v>
      </c>
    </row>
    <row r="37" spans="1:5" ht="12.75">
      <c r="A37" s="1">
        <f t="shared" si="1"/>
        <v>31</v>
      </c>
      <c r="B37" s="2" t="s">
        <v>763</v>
      </c>
      <c r="C37" s="19">
        <v>532</v>
      </c>
      <c r="D37" s="1" t="s">
        <v>105</v>
      </c>
    </row>
    <row r="38" spans="1:5" ht="12.75">
      <c r="A38" s="1">
        <f t="shared" si="1"/>
        <v>32</v>
      </c>
      <c r="B38" s="2" t="s">
        <v>764</v>
      </c>
      <c r="C38" s="19"/>
      <c r="D38" s="1"/>
    </row>
    <row r="39" spans="1:5" ht="12.75">
      <c r="A39" s="1">
        <f t="shared" si="1"/>
        <v>33</v>
      </c>
      <c r="B39" s="1" t="s">
        <v>194</v>
      </c>
      <c r="C39" s="19"/>
      <c r="D39" s="1"/>
    </row>
    <row r="40" spans="1:5" ht="12.75">
      <c r="A40" s="1">
        <f t="shared" si="1"/>
        <v>34</v>
      </c>
      <c r="B40" s="2" t="s">
        <v>102</v>
      </c>
      <c r="C40" s="1" t="s">
        <v>197</v>
      </c>
      <c r="D40" s="1" t="s">
        <v>104</v>
      </c>
      <c r="E40" s="1" t="s">
        <v>105</v>
      </c>
    </row>
    <row r="41" spans="1:5" ht="12.75">
      <c r="A41" s="1">
        <f t="shared" si="1"/>
        <v>35</v>
      </c>
      <c r="B41" s="2" t="s">
        <v>201</v>
      </c>
      <c r="C41" s="1" t="s">
        <v>202</v>
      </c>
      <c r="D41" s="1" t="s">
        <v>104</v>
      </c>
      <c r="E41" s="1" t="s">
        <v>105</v>
      </c>
    </row>
    <row r="42" spans="1:5" ht="12.75">
      <c r="A42" s="1">
        <f t="shared" si="1"/>
        <v>36</v>
      </c>
      <c r="B42" s="2" t="s">
        <v>205</v>
      </c>
      <c r="C42" s="1" t="s">
        <v>206</v>
      </c>
      <c r="D42" s="1" t="s">
        <v>104</v>
      </c>
      <c r="E42" s="1" t="s">
        <v>105</v>
      </c>
    </row>
    <row r="43" spans="1:5" ht="12.75">
      <c r="A43" s="1">
        <f t="shared" si="1"/>
        <v>37</v>
      </c>
      <c r="B43" s="2" t="s">
        <v>141</v>
      </c>
      <c r="C43" s="1" t="s">
        <v>212</v>
      </c>
      <c r="D43" s="1" t="s">
        <v>104</v>
      </c>
      <c r="E43" s="1" t="s">
        <v>105</v>
      </c>
    </row>
    <row r="44" spans="1:5" ht="12.75">
      <c r="A44" s="1">
        <f t="shared" si="1"/>
        <v>38</v>
      </c>
      <c r="B44" s="2" t="s">
        <v>215</v>
      </c>
      <c r="C44" s="1" t="s">
        <v>216</v>
      </c>
      <c r="D44" s="1" t="s">
        <v>104</v>
      </c>
      <c r="E44" s="1" t="s">
        <v>105</v>
      </c>
    </row>
    <row r="45" spans="1:5" ht="12.75">
      <c r="A45" s="1">
        <f t="shared" si="1"/>
        <v>39</v>
      </c>
      <c r="B45" s="2" t="s">
        <v>387</v>
      </c>
      <c r="C45" s="1" t="s">
        <v>222</v>
      </c>
      <c r="D45" s="1" t="s">
        <v>104</v>
      </c>
      <c r="E45" s="1" t="s">
        <v>105</v>
      </c>
    </row>
    <row r="46" spans="1:5" ht="12.75">
      <c r="A46" s="1">
        <f t="shared" si="1"/>
        <v>40</v>
      </c>
      <c r="B46" s="2" t="s">
        <v>163</v>
      </c>
      <c r="C46" s="1" t="s">
        <v>226</v>
      </c>
      <c r="D46" s="1" t="s">
        <v>104</v>
      </c>
      <c r="E46" s="1" t="s">
        <v>105</v>
      </c>
    </row>
    <row r="47" spans="1:5" ht="12.75">
      <c r="A47" s="1">
        <f t="shared" si="1"/>
        <v>41</v>
      </c>
      <c r="B47" s="2" t="s">
        <v>169</v>
      </c>
      <c r="C47" s="1" t="s">
        <v>233</v>
      </c>
      <c r="D47" s="1" t="s">
        <v>104</v>
      </c>
      <c r="E47" s="1" t="s">
        <v>105</v>
      </c>
    </row>
    <row r="48" spans="1:5" ht="12.75">
      <c r="A48" s="1">
        <f t="shared" si="1"/>
        <v>42</v>
      </c>
      <c r="B48" s="2" t="s">
        <v>236</v>
      </c>
      <c r="C48" s="1" t="s">
        <v>237</v>
      </c>
      <c r="D48" s="1" t="s">
        <v>104</v>
      </c>
      <c r="E48" s="1" t="s">
        <v>105</v>
      </c>
    </row>
    <row r="49" spans="1:5" ht="12.75">
      <c r="A49" s="1">
        <f t="shared" si="1"/>
        <v>43</v>
      </c>
      <c r="B49" s="2" t="s">
        <v>177</v>
      </c>
      <c r="C49" s="1" t="s">
        <v>240</v>
      </c>
      <c r="D49" s="1" t="s">
        <v>105</v>
      </c>
      <c r="E49" s="1" t="s">
        <v>104</v>
      </c>
    </row>
    <row r="50" spans="1:5" ht="12.75">
      <c r="A50" s="1">
        <f t="shared" si="1"/>
        <v>44</v>
      </c>
      <c r="B50" s="2" t="s">
        <v>241</v>
      </c>
      <c r="C50" s="1" t="s">
        <v>242</v>
      </c>
      <c r="D50" s="1" t="s">
        <v>104</v>
      </c>
      <c r="E50" s="1" t="s">
        <v>105</v>
      </c>
    </row>
    <row r="51" spans="1:5" ht="12.75">
      <c r="A51" s="1">
        <f t="shared" si="1"/>
        <v>45</v>
      </c>
      <c r="B51" s="2" t="s">
        <v>244</v>
      </c>
      <c r="C51" s="3"/>
      <c r="D51" s="3"/>
      <c r="E51" s="3"/>
    </row>
    <row r="52" spans="1:5" ht="12.75">
      <c r="A52" s="1">
        <f t="shared" si="1"/>
        <v>46</v>
      </c>
      <c r="B52" s="1" t="s">
        <v>245</v>
      </c>
      <c r="C52" s="3"/>
      <c r="D52" s="3"/>
      <c r="E52" s="3"/>
    </row>
    <row r="53" spans="1:5" ht="12.75">
      <c r="A53" s="1">
        <f t="shared" si="1"/>
        <v>47</v>
      </c>
      <c r="B53" s="2" t="s">
        <v>102</v>
      </c>
      <c r="C53" s="1" t="s">
        <v>246</v>
      </c>
      <c r="D53" s="1" t="s">
        <v>104</v>
      </c>
      <c r="E53" s="1" t="s">
        <v>105</v>
      </c>
    </row>
    <row r="54" spans="1:5" ht="12.75">
      <c r="A54" s="1">
        <f t="shared" si="1"/>
        <v>48</v>
      </c>
      <c r="B54" s="2" t="s">
        <v>111</v>
      </c>
      <c r="C54" s="1" t="s">
        <v>390</v>
      </c>
      <c r="D54" s="1" t="s">
        <v>105</v>
      </c>
      <c r="E54" s="1" t="s">
        <v>104</v>
      </c>
    </row>
    <row r="55" spans="1:5" ht="12.75">
      <c r="A55" s="1">
        <f t="shared" si="1"/>
        <v>49</v>
      </c>
      <c r="B55" s="2" t="s">
        <v>247</v>
      </c>
      <c r="C55" s="1" t="s">
        <v>248</v>
      </c>
      <c r="D55" s="1" t="s">
        <v>104</v>
      </c>
      <c r="E55" s="1" t="s">
        <v>105</v>
      </c>
    </row>
    <row r="56" spans="1:5" ht="12.75">
      <c r="A56" s="1">
        <f t="shared" si="1"/>
        <v>50</v>
      </c>
      <c r="B56" s="2" t="s">
        <v>249</v>
      </c>
      <c r="C56" s="1" t="s">
        <v>250</v>
      </c>
      <c r="D56" s="1" t="s">
        <v>104</v>
      </c>
      <c r="E56" s="1" t="s">
        <v>105</v>
      </c>
    </row>
    <row r="57" spans="1:5" ht="12.75">
      <c r="A57" s="1">
        <f t="shared" si="1"/>
        <v>51</v>
      </c>
      <c r="B57" s="2" t="s">
        <v>387</v>
      </c>
      <c r="C57" s="1" t="s">
        <v>252</v>
      </c>
      <c r="D57" s="1" t="s">
        <v>104</v>
      </c>
      <c r="E57" s="1" t="s">
        <v>105</v>
      </c>
    </row>
    <row r="58" spans="1:5" ht="12.75">
      <c r="A58" s="1">
        <f t="shared" si="1"/>
        <v>52</v>
      </c>
      <c r="B58" s="2" t="s">
        <v>163</v>
      </c>
      <c r="C58" s="1" t="s">
        <v>253</v>
      </c>
      <c r="D58" s="1" t="s">
        <v>104</v>
      </c>
      <c r="E58" s="1" t="s">
        <v>105</v>
      </c>
    </row>
    <row r="59" spans="1:5" ht="12.75">
      <c r="A59" s="1">
        <f t="shared" si="1"/>
        <v>53</v>
      </c>
      <c r="B59" s="2" t="s">
        <v>169</v>
      </c>
      <c r="C59" s="1" t="s">
        <v>254</v>
      </c>
      <c r="D59" s="1" t="s">
        <v>104</v>
      </c>
      <c r="E59" s="1" t="s">
        <v>105</v>
      </c>
    </row>
    <row r="60" spans="1:5" ht="12.75">
      <c r="A60" s="1">
        <f t="shared" si="1"/>
        <v>54</v>
      </c>
      <c r="B60" s="2" t="s">
        <v>256</v>
      </c>
      <c r="C60" s="1" t="s">
        <v>257</v>
      </c>
      <c r="D60" s="1" t="s">
        <v>104</v>
      </c>
      <c r="E60" s="1" t="s">
        <v>105</v>
      </c>
    </row>
    <row r="61" spans="1:5" ht="12.75">
      <c r="A61" s="1">
        <f t="shared" si="1"/>
        <v>55</v>
      </c>
      <c r="B61" s="2" t="s">
        <v>259</v>
      </c>
      <c r="C61" s="25" t="s">
        <v>260</v>
      </c>
      <c r="D61" s="25" t="s">
        <v>104</v>
      </c>
      <c r="E61" s="25" t="s">
        <v>105</v>
      </c>
    </row>
    <row r="63" spans="1:5" ht="12.75">
      <c r="A63" s="2" t="s">
        <v>43</v>
      </c>
      <c r="E63" s="24" t="s">
        <v>975</v>
      </c>
    </row>
    <row r="64" spans="1:5" ht="12.75">
      <c r="A64" s="2" t="s">
        <v>55</v>
      </c>
      <c r="E64" s="24" t="s">
        <v>44</v>
      </c>
    </row>
    <row r="65" spans="1:5" ht="12.75">
      <c r="E65" s="41" t="s">
        <v>970</v>
      </c>
    </row>
    <row r="66" spans="1:5" ht="12.75">
      <c r="A66" s="1" t="s">
        <v>65</v>
      </c>
      <c r="B66" s="3"/>
      <c r="C66" s="3"/>
      <c r="D66" s="3"/>
      <c r="E66" s="3"/>
    </row>
    <row r="67" spans="1:5" ht="12.75">
      <c r="A67" s="62"/>
      <c r="B67" s="1" t="s">
        <v>287</v>
      </c>
      <c r="C67" s="1" t="s">
        <v>66</v>
      </c>
      <c r="D67" s="1" t="s">
        <v>64</v>
      </c>
      <c r="E67" s="1" t="s">
        <v>63</v>
      </c>
    </row>
    <row r="68" spans="1:5" ht="12.75">
      <c r="A68" s="198" t="s">
        <v>74</v>
      </c>
      <c r="B68" s="198" t="s">
        <v>88</v>
      </c>
      <c r="C68" s="198" t="s">
        <v>74</v>
      </c>
      <c r="D68" s="198" t="s">
        <v>75</v>
      </c>
      <c r="E68" s="198" t="s">
        <v>75</v>
      </c>
    </row>
    <row r="70" spans="1:5" ht="12.75">
      <c r="A70" s="1">
        <f>+A61+1</f>
        <v>56</v>
      </c>
      <c r="B70" s="2" t="s">
        <v>261</v>
      </c>
      <c r="C70" s="3"/>
      <c r="D70" s="3"/>
      <c r="E70" s="3"/>
    </row>
    <row r="71" spans="1:5" ht="12.75">
      <c r="A71" s="1">
        <f t="shared" ref="A71:A76" si="2">+A70+1</f>
        <v>57</v>
      </c>
      <c r="B71" s="1" t="s">
        <v>263</v>
      </c>
      <c r="C71" s="3"/>
      <c r="D71" s="3"/>
      <c r="E71" s="3"/>
    </row>
    <row r="72" spans="1:5" ht="12.75">
      <c r="A72" s="1">
        <f t="shared" si="2"/>
        <v>58</v>
      </c>
      <c r="B72" s="2" t="s">
        <v>264</v>
      </c>
      <c r="C72" s="1" t="s">
        <v>397</v>
      </c>
      <c r="D72" s="1" t="s">
        <v>105</v>
      </c>
      <c r="E72" s="1" t="s">
        <v>105</v>
      </c>
    </row>
    <row r="73" spans="1:5" ht="12.75">
      <c r="A73" s="1">
        <f t="shared" si="2"/>
        <v>59</v>
      </c>
      <c r="B73" s="2" t="s">
        <v>265</v>
      </c>
      <c r="C73" s="1" t="s">
        <v>266</v>
      </c>
      <c r="D73" s="1" t="s">
        <v>104</v>
      </c>
      <c r="E73" s="1" t="s">
        <v>105</v>
      </c>
    </row>
    <row r="74" spans="1:5" ht="12.75">
      <c r="A74" s="1">
        <f t="shared" si="2"/>
        <v>60</v>
      </c>
      <c r="B74" s="2" t="s">
        <v>267</v>
      </c>
      <c r="C74" s="1" t="s">
        <v>268</v>
      </c>
      <c r="D74" s="1" t="s">
        <v>104</v>
      </c>
      <c r="E74" s="1" t="s">
        <v>105</v>
      </c>
    </row>
    <row r="75" spans="1:5" ht="12.75">
      <c r="A75" s="1">
        <f t="shared" si="2"/>
        <v>61</v>
      </c>
      <c r="B75" s="2" t="s">
        <v>7</v>
      </c>
      <c r="C75" s="1">
        <v>562</v>
      </c>
      <c r="D75" s="1" t="s">
        <v>104</v>
      </c>
      <c r="E75" s="1" t="s">
        <v>105</v>
      </c>
    </row>
    <row r="76" spans="1:5" ht="12.75">
      <c r="A76" s="1">
        <f t="shared" si="2"/>
        <v>62</v>
      </c>
      <c r="B76" s="2" t="s">
        <v>8</v>
      </c>
      <c r="C76" s="1">
        <v>570</v>
      </c>
      <c r="D76" s="1" t="s">
        <v>104</v>
      </c>
      <c r="E76" s="1" t="s">
        <v>105</v>
      </c>
    </row>
    <row r="78" spans="1:5" ht="12.75">
      <c r="A78" s="2" t="s">
        <v>485</v>
      </c>
      <c r="B78" s="2"/>
    </row>
    <row r="79" spans="1:5" ht="12.75">
      <c r="B79" s="4" t="s">
        <v>479</v>
      </c>
    </row>
  </sheetData>
  <phoneticPr fontId="15" type="noConversion"/>
  <printOptions horizontalCentered="1"/>
  <pageMargins left="0.75" right="0.75" top="0.8" bottom="1" header="0.5" footer="0.5"/>
  <pageSetup scale="84" orientation="portrait" r:id="rId1"/>
  <headerFooter alignWithMargins="0"/>
  <rowBreaks count="1" manualBreakCount="1"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topLeftCell="A10" zoomScaleNormal="100" workbookViewId="0">
      <selection activeCell="B12" sqref="B12"/>
    </sheetView>
  </sheetViews>
  <sheetFormatPr defaultColWidth="9" defaultRowHeight="12"/>
  <cols>
    <col min="1" max="1" width="5.75" style="37" customWidth="1"/>
    <col min="2" max="2" width="38.625" style="37" customWidth="1"/>
    <col min="3" max="3" width="13.625" style="37" customWidth="1"/>
    <col min="4" max="4" width="12.25" style="37" customWidth="1"/>
    <col min="5" max="5" width="13.75" style="37" customWidth="1"/>
    <col min="6" max="16384" width="9" style="37"/>
  </cols>
  <sheetData>
    <row r="1" spans="1:35" ht="12.75">
      <c r="A1" s="2" t="s">
        <v>45</v>
      </c>
      <c r="B1"/>
      <c r="C1" s="3"/>
      <c r="E1" s="24" t="s">
        <v>975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30" t="str">
        <f>INPUT!$B$2</f>
        <v>12 Months Ending 12/31/2018 (actuals) for 2019</v>
      </c>
      <c r="B2" s="3"/>
      <c r="C2" s="3"/>
      <c r="D2" s="3"/>
      <c r="E2" s="24" t="s">
        <v>46</v>
      </c>
    </row>
    <row r="3" spans="1:35" ht="12.75">
      <c r="A3" s="3"/>
      <c r="B3" s="3"/>
      <c r="C3" s="3"/>
      <c r="D3" s="3"/>
      <c r="E3" s="3"/>
    </row>
    <row r="4" spans="1:35" ht="12.75">
      <c r="A4" s="3"/>
      <c r="B4" s="3"/>
      <c r="C4" s="5" t="s">
        <v>60</v>
      </c>
      <c r="D4" s="3"/>
      <c r="E4" s="3"/>
    </row>
    <row r="5" spans="1:35" ht="12.75">
      <c r="B5" s="3"/>
      <c r="C5" s="5" t="s">
        <v>67</v>
      </c>
      <c r="D5" s="5" t="s">
        <v>63</v>
      </c>
      <c r="E5" s="5" t="s">
        <v>64</v>
      </c>
    </row>
    <row r="6" spans="1:35" ht="12.75">
      <c r="A6" s="3"/>
      <c r="B6" s="3"/>
      <c r="C6" s="5" t="s">
        <v>374</v>
      </c>
      <c r="D6" s="5" t="s">
        <v>16</v>
      </c>
      <c r="E6" s="5" t="s">
        <v>17</v>
      </c>
    </row>
    <row r="7" spans="1:35" ht="12.75">
      <c r="A7" s="3"/>
      <c r="B7" s="2" t="s">
        <v>89</v>
      </c>
      <c r="C7" s="3"/>
      <c r="D7" s="3"/>
      <c r="E7" s="3"/>
    </row>
    <row r="8" spans="1:35" ht="12.75">
      <c r="A8" s="3"/>
      <c r="B8" s="206" t="s">
        <v>902</v>
      </c>
      <c r="C8" s="3"/>
      <c r="D8" s="3"/>
      <c r="E8" s="3"/>
    </row>
    <row r="9" spans="1:35" ht="12.75">
      <c r="A9" s="4" t="s">
        <v>274</v>
      </c>
      <c r="B9" s="2" t="s">
        <v>106</v>
      </c>
      <c r="C9" s="14">
        <f>INPUT!C147</f>
        <v>177802566</v>
      </c>
      <c r="D9" s="14">
        <f>C9</f>
        <v>177802566</v>
      </c>
      <c r="E9" s="14">
        <v>0</v>
      </c>
    </row>
    <row r="10" spans="1:35" ht="12.75">
      <c r="A10" s="3"/>
      <c r="B10" s="3"/>
      <c r="C10" s="3"/>
      <c r="D10" s="3"/>
      <c r="E10" s="3"/>
    </row>
    <row r="11" spans="1:35" ht="12.75">
      <c r="A11" s="4" t="s">
        <v>275</v>
      </c>
      <c r="B11" s="2" t="s">
        <v>119</v>
      </c>
      <c r="C11" s="3">
        <v>0</v>
      </c>
      <c r="D11" s="3">
        <f>C11</f>
        <v>0</v>
      </c>
      <c r="E11" s="3">
        <v>0</v>
      </c>
    </row>
    <row r="12" spans="1:35" ht="12.75">
      <c r="A12" s="3"/>
      <c r="B12" s="3"/>
      <c r="C12" s="3"/>
      <c r="D12" s="3"/>
      <c r="E12" s="3"/>
    </row>
    <row r="13" spans="1:35" ht="12.75">
      <c r="A13" s="4" t="s">
        <v>276</v>
      </c>
      <c r="B13" s="2" t="s">
        <v>906</v>
      </c>
      <c r="C13" s="3">
        <f>+INPUT!C148</f>
        <v>3444451</v>
      </c>
      <c r="D13" s="3">
        <f>C13</f>
        <v>3444451</v>
      </c>
      <c r="E13" s="3">
        <v>0</v>
      </c>
    </row>
    <row r="14" spans="1:35" ht="12.75">
      <c r="A14" s="3"/>
      <c r="B14" s="3"/>
      <c r="C14" s="3"/>
      <c r="D14" s="3"/>
      <c r="E14" s="3"/>
    </row>
    <row r="15" spans="1:35" ht="12.75">
      <c r="A15" s="4" t="s">
        <v>278</v>
      </c>
      <c r="B15" s="4" t="s">
        <v>907</v>
      </c>
      <c r="C15" s="3">
        <f>+INPUT!C149</f>
        <v>2780989</v>
      </c>
      <c r="D15" s="3">
        <f>C15</f>
        <v>2780989</v>
      </c>
      <c r="E15" s="3">
        <v>0</v>
      </c>
    </row>
    <row r="16" spans="1:35" ht="12.75">
      <c r="B16" s="3"/>
      <c r="C16" s="3"/>
      <c r="D16" s="3"/>
      <c r="E16" s="3"/>
    </row>
    <row r="17" spans="1:5" ht="12.75">
      <c r="A17" s="4" t="s">
        <v>269</v>
      </c>
      <c r="B17" s="4" t="s">
        <v>520</v>
      </c>
      <c r="C17" s="3">
        <v>0</v>
      </c>
      <c r="D17" s="3">
        <v>0</v>
      </c>
      <c r="E17" s="3">
        <v>0</v>
      </c>
    </row>
    <row r="18" spans="1:5" ht="12.75">
      <c r="A18" s="3"/>
      <c r="B18" s="3"/>
      <c r="C18" s="3"/>
      <c r="D18" s="3"/>
      <c r="E18" s="3"/>
    </row>
    <row r="19" spans="1:5" ht="12.75">
      <c r="A19" s="4" t="s">
        <v>270</v>
      </c>
      <c r="B19" s="4" t="s">
        <v>961</v>
      </c>
      <c r="C19" s="14">
        <f>+INPUT!C150</f>
        <v>13428455</v>
      </c>
      <c r="D19" s="14">
        <f>C19</f>
        <v>13428455</v>
      </c>
      <c r="E19" s="14">
        <v>0</v>
      </c>
    </row>
    <row r="20" spans="1:5" customFormat="1"/>
    <row r="21" spans="1:5" ht="12.75">
      <c r="A21" s="4" t="s">
        <v>271</v>
      </c>
      <c r="B21" s="4" t="s">
        <v>9</v>
      </c>
      <c r="C21" s="14">
        <f>'B3-B4'!D15</f>
        <v>1301992.2798547582</v>
      </c>
      <c r="D21" s="14">
        <f>C21</f>
        <v>1301992.2798547582</v>
      </c>
      <c r="E21" s="14">
        <f>0</f>
        <v>0</v>
      </c>
    </row>
    <row r="22" spans="1:5" ht="12.75">
      <c r="B22" s="3"/>
      <c r="C22" s="3"/>
      <c r="D22" s="3"/>
      <c r="E22" s="3"/>
    </row>
    <row r="23" spans="1:5" ht="12.75">
      <c r="A23" s="4" t="s">
        <v>282</v>
      </c>
      <c r="B23" s="4" t="s">
        <v>928</v>
      </c>
      <c r="C23" s="14">
        <f>ROUND(INPUT!C151*'B7'!$D$42,10)</f>
        <v>16099989.517167401</v>
      </c>
      <c r="D23" s="14">
        <f>ROUND($C$23*('B7'!$E$32/'B7'!$D$32),10)</f>
        <v>11364195.7166724</v>
      </c>
      <c r="E23" s="14">
        <f>ROUND($C$23*('B7'!$F32/'B7'!$D$32),10)</f>
        <v>4735793.8004949698</v>
      </c>
    </row>
    <row r="24" spans="1:5" ht="12.75">
      <c r="A24" s="3"/>
      <c r="B24" s="3"/>
      <c r="C24" s="3"/>
      <c r="D24" s="3"/>
      <c r="E24" s="3"/>
    </row>
    <row r="25" spans="1:5" ht="12.75">
      <c r="A25" s="3"/>
      <c r="B25" s="3"/>
      <c r="C25" s="3"/>
      <c r="D25" s="3"/>
      <c r="E25" s="3"/>
    </row>
    <row r="26" spans="1:5" ht="12.75">
      <c r="A26" s="4" t="s">
        <v>284</v>
      </c>
      <c r="B26" s="2" t="s">
        <v>903</v>
      </c>
      <c r="C26" s="14">
        <f>SUM(C9:C24)</f>
        <v>214858442.79702213</v>
      </c>
      <c r="D26" s="14">
        <f>SUM(D9:D24)</f>
        <v>210122648.99652714</v>
      </c>
      <c r="E26" s="14">
        <f>SUM(E9:E24)</f>
        <v>4735793.8004949698</v>
      </c>
    </row>
    <row r="27" spans="1:5" ht="12.75">
      <c r="B27" s="3"/>
      <c r="C27" s="3"/>
      <c r="D27" s="3"/>
      <c r="E27" s="3"/>
    </row>
    <row r="28" spans="1:5" ht="12.75">
      <c r="E28" s="3"/>
    </row>
    <row r="29" spans="1:5" ht="12.75">
      <c r="A29" s="4" t="s">
        <v>591</v>
      </c>
      <c r="B29" s="4" t="s">
        <v>1040</v>
      </c>
      <c r="C29" s="3"/>
      <c r="D29" s="3"/>
      <c r="E29" s="3"/>
    </row>
    <row r="30" spans="1:5" ht="12.75">
      <c r="A30" s="3"/>
      <c r="B30" s="4" t="s">
        <v>801</v>
      </c>
      <c r="C30" s="3"/>
      <c r="D30" s="3"/>
      <c r="E30" s="3"/>
    </row>
    <row r="31" spans="1:5" ht="12.75">
      <c r="A31" s="3"/>
      <c r="B31" s="3"/>
      <c r="C31" s="3"/>
      <c r="D31" s="3"/>
    </row>
    <row r="32" spans="1:5" ht="12.75">
      <c r="A32" s="3"/>
      <c r="B32" s="4" t="s">
        <v>962</v>
      </c>
      <c r="C32" s="3"/>
      <c r="D32" s="3"/>
    </row>
    <row r="33" spans="1:5" ht="12.75">
      <c r="A33" s="3"/>
      <c r="B33" s="4" t="s">
        <v>554</v>
      </c>
      <c r="C33" s="3"/>
      <c r="D33" s="3"/>
    </row>
    <row r="34" spans="1:5" ht="12.75">
      <c r="A34" s="3"/>
      <c r="B34" s="4" t="s">
        <v>1101</v>
      </c>
      <c r="C34" s="3"/>
      <c r="D34" s="3"/>
    </row>
    <row r="35" spans="1:5" ht="12.75">
      <c r="A35" s="3"/>
      <c r="B35" s="4" t="s">
        <v>1065</v>
      </c>
      <c r="C35" s="3"/>
      <c r="D35" s="3"/>
    </row>
    <row r="36" spans="1:5" ht="12.75">
      <c r="A36" s="2" t="s">
        <v>398</v>
      </c>
      <c r="B36" s="4" t="s">
        <v>963</v>
      </c>
      <c r="C36" s="3"/>
    </row>
    <row r="37" spans="1:5" ht="12.75">
      <c r="A37" s="3"/>
      <c r="B37" s="3"/>
      <c r="C37" s="3"/>
    </row>
    <row r="38" spans="1:5" ht="12.75">
      <c r="A38" s="204" t="s">
        <v>400</v>
      </c>
      <c r="B38" s="204"/>
      <c r="C38" s="204"/>
      <c r="D38" s="204"/>
      <c r="E38" s="3"/>
    </row>
    <row r="39" spans="1:5" ht="12.75">
      <c r="A39" s="210" t="s">
        <v>931</v>
      </c>
      <c r="B39" s="204" t="s">
        <v>588</v>
      </c>
      <c r="C39" s="204"/>
      <c r="D39" s="204"/>
      <c r="E39" s="3"/>
    </row>
    <row r="40" spans="1:5" ht="12.75">
      <c r="A40" s="210" t="s">
        <v>932</v>
      </c>
      <c r="B40" s="204" t="s">
        <v>925</v>
      </c>
      <c r="C40" s="204" t="s">
        <v>926</v>
      </c>
      <c r="D40" s="204">
        <v>5651443</v>
      </c>
      <c r="E40" s="3"/>
    </row>
    <row r="41" spans="1:5" ht="12.75">
      <c r="A41" s="210" t="s">
        <v>933</v>
      </c>
      <c r="B41" s="204" t="s">
        <v>530</v>
      </c>
      <c r="C41" s="204" t="s">
        <v>926</v>
      </c>
      <c r="D41" s="209">
        <v>25543163</v>
      </c>
      <c r="E41" s="3"/>
    </row>
    <row r="42" spans="1:5" ht="12.75">
      <c r="A42" s="210" t="s">
        <v>934</v>
      </c>
      <c r="B42" s="204" t="s">
        <v>927</v>
      </c>
      <c r="C42" s="204" t="s">
        <v>939</v>
      </c>
      <c r="D42" s="204">
        <f>+D40+D41</f>
        <v>31194606</v>
      </c>
      <c r="E42" s="3"/>
    </row>
    <row r="43" spans="1:5" ht="12.75">
      <c r="A43" s="210"/>
      <c r="B43" s="204"/>
      <c r="C43" s="204" t="s">
        <v>272</v>
      </c>
      <c r="D43" s="204"/>
      <c r="E43" s="3"/>
    </row>
    <row r="44" spans="1:5" ht="12.75">
      <c r="A44" s="210" t="s">
        <v>935</v>
      </c>
      <c r="B44" s="204" t="s">
        <v>930</v>
      </c>
      <c r="C44" s="204" t="s">
        <v>1102</v>
      </c>
      <c r="D44" s="217">
        <f>'B7'!E42</f>
        <v>0.36430002410000001</v>
      </c>
      <c r="E44" s="3"/>
    </row>
    <row r="45" spans="1:5" ht="12.75">
      <c r="A45" s="210" t="s">
        <v>936</v>
      </c>
      <c r="B45" s="204" t="s">
        <v>944</v>
      </c>
      <c r="C45" s="204" t="s">
        <v>940</v>
      </c>
      <c r="D45" s="204">
        <f>+D42*D44</f>
        <v>11364195.717590004</v>
      </c>
      <c r="E45" s="3"/>
    </row>
    <row r="46" spans="1:5" ht="12.75">
      <c r="A46" s="210"/>
      <c r="B46" s="204"/>
      <c r="C46" s="204"/>
      <c r="D46" s="204"/>
      <c r="E46" s="3"/>
    </row>
    <row r="47" spans="1:5" ht="12.75">
      <c r="A47" s="210" t="s">
        <v>937</v>
      </c>
      <c r="B47" s="204" t="s">
        <v>1087</v>
      </c>
      <c r="C47" s="204" t="s">
        <v>1102</v>
      </c>
      <c r="D47" s="217">
        <f>+'B7'!F42</f>
        <v>0.1518145092</v>
      </c>
      <c r="E47" s="3"/>
    </row>
    <row r="48" spans="1:5" ht="12.75">
      <c r="A48" s="210" t="s">
        <v>938</v>
      </c>
      <c r="B48" s="204" t="s">
        <v>945</v>
      </c>
      <c r="C48" s="204" t="s">
        <v>941</v>
      </c>
      <c r="D48" s="218">
        <f>+D42*D47</f>
        <v>4735793.7995773749</v>
      </c>
      <c r="E48" s="3"/>
    </row>
    <row r="49" spans="1:5" ht="12.75">
      <c r="A49" s="210" t="s">
        <v>942</v>
      </c>
      <c r="B49" s="204" t="s">
        <v>929</v>
      </c>
      <c r="C49" s="204" t="s">
        <v>943</v>
      </c>
      <c r="D49" s="204">
        <f>+D45+D48</f>
        <v>16099989.517167378</v>
      </c>
      <c r="E49" s="3"/>
    </row>
    <row r="50" spans="1:5" ht="12.75">
      <c r="A50" s="3"/>
      <c r="B50" s="3"/>
      <c r="C50" s="3"/>
      <c r="D50" s="3"/>
      <c r="E50" s="3"/>
    </row>
  </sheetData>
  <phoneticPr fontId="15" type="noConversion"/>
  <printOptions horizontalCentered="1"/>
  <pageMargins left="0.75" right="0.75" top="1" bottom="1" header="0.5" footer="0.5"/>
  <pageSetup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0"/>
  <sheetViews>
    <sheetView view="pageBreakPreview" zoomScale="60" zoomScaleNormal="100" workbookViewId="0">
      <selection activeCell="B12" sqref="B12"/>
    </sheetView>
  </sheetViews>
  <sheetFormatPr defaultColWidth="9" defaultRowHeight="12"/>
  <cols>
    <col min="1" max="1" width="9.625" style="37" customWidth="1"/>
    <col min="2" max="2" width="45.625" style="37" customWidth="1"/>
    <col min="3" max="3" width="14.75" style="37" customWidth="1"/>
    <col min="4" max="4" width="14.375" style="37" customWidth="1"/>
    <col min="5" max="5" width="8.375" style="37" customWidth="1"/>
    <col min="6" max="6" width="16" style="37" customWidth="1"/>
    <col min="7" max="7" width="9" style="37"/>
    <col min="8" max="8" width="4.125" style="37" customWidth="1"/>
    <col min="9" max="9" width="25.125" style="37" customWidth="1"/>
    <col min="10" max="10" width="17.375" style="37" customWidth="1"/>
    <col min="11" max="11" width="15.375" style="37" customWidth="1"/>
    <col min="12" max="12" width="15.125" style="37" customWidth="1"/>
    <col min="13" max="13" width="14.875" style="37" customWidth="1"/>
    <col min="14" max="16384" width="9" style="37"/>
  </cols>
  <sheetData>
    <row r="1" spans="1:35" ht="15">
      <c r="A1" s="287" t="s">
        <v>47</v>
      </c>
      <c r="B1" s="288"/>
      <c r="C1" s="289"/>
      <c r="D1" s="290"/>
      <c r="E1" s="290"/>
      <c r="F1" s="291" t="s">
        <v>975</v>
      </c>
      <c r="G1" s="290"/>
      <c r="H1" s="287" t="s">
        <v>49</v>
      </c>
      <c r="I1" s="289"/>
      <c r="J1" s="289"/>
      <c r="K1" s="289"/>
      <c r="L1" s="292" t="s">
        <v>272</v>
      </c>
      <c r="M1" s="291" t="s">
        <v>975</v>
      </c>
      <c r="W1" s="37" t="s">
        <v>272</v>
      </c>
      <c r="AC1" s="37" t="s">
        <v>272</v>
      </c>
      <c r="AI1" s="37" t="s">
        <v>272</v>
      </c>
    </row>
    <row r="2" spans="1:35" ht="15">
      <c r="A2" s="287" t="s">
        <v>56</v>
      </c>
      <c r="B2" s="289"/>
      <c r="C2" s="289"/>
      <c r="D2" s="289"/>
      <c r="E2" s="289"/>
      <c r="F2" s="291" t="s">
        <v>48</v>
      </c>
      <c r="G2" s="290"/>
      <c r="H2" s="293" t="str">
        <f>INPUT!$B$2</f>
        <v>12 Months Ending 12/31/2018 (actuals) for 2019</v>
      </c>
      <c r="I2" s="289"/>
      <c r="J2" s="289"/>
      <c r="K2" s="289"/>
      <c r="L2" s="289"/>
      <c r="M2" s="291" t="s">
        <v>50</v>
      </c>
    </row>
    <row r="3" spans="1:35" ht="15">
      <c r="A3" s="293" t="str">
        <f>INPUT!$B$2</f>
        <v>12 Months Ending 12/31/2018 (actuals) for 2019</v>
      </c>
      <c r="B3" s="289"/>
      <c r="C3" s="289"/>
      <c r="D3" s="289"/>
      <c r="E3" s="289"/>
      <c r="F3" s="289"/>
      <c r="G3" s="290"/>
      <c r="H3" s="290"/>
      <c r="I3" s="289"/>
      <c r="J3" s="290"/>
      <c r="K3" s="289"/>
      <c r="L3" s="289"/>
      <c r="M3" s="289"/>
    </row>
    <row r="4" spans="1:35" ht="15">
      <c r="A4" s="289"/>
      <c r="B4" s="289"/>
      <c r="C4" s="289"/>
      <c r="D4" s="289"/>
      <c r="E4" s="289"/>
      <c r="F4" s="289"/>
      <c r="G4" s="290"/>
      <c r="H4" s="289"/>
      <c r="I4" s="289"/>
      <c r="J4" s="289"/>
      <c r="K4" s="289"/>
      <c r="L4" s="289"/>
      <c r="M4" s="289"/>
    </row>
    <row r="5" spans="1:35" ht="15">
      <c r="A5" s="290"/>
      <c r="B5" s="289"/>
      <c r="C5" s="289"/>
      <c r="D5" s="289"/>
      <c r="E5" s="289"/>
      <c r="F5" s="289"/>
      <c r="G5" s="290"/>
      <c r="H5" s="289"/>
      <c r="I5" s="289"/>
      <c r="J5" s="294" t="s">
        <v>372</v>
      </c>
      <c r="K5" s="294" t="s">
        <v>288</v>
      </c>
      <c r="L5" s="294" t="s">
        <v>63</v>
      </c>
      <c r="M5" s="294" t="s">
        <v>64</v>
      </c>
    </row>
    <row r="6" spans="1:35" ht="15">
      <c r="A6" s="289"/>
      <c r="B6" s="289"/>
      <c r="C6" s="295" t="s">
        <v>58</v>
      </c>
      <c r="D6" s="296"/>
      <c r="E6" s="289"/>
      <c r="F6" s="297" t="s">
        <v>57</v>
      </c>
      <c r="G6" s="298"/>
      <c r="H6" s="289"/>
      <c r="I6" s="289"/>
      <c r="J6" s="289"/>
      <c r="K6" s="294" t="s">
        <v>374</v>
      </c>
      <c r="L6" s="294" t="s">
        <v>16</v>
      </c>
      <c r="M6" s="294" t="s">
        <v>17</v>
      </c>
    </row>
    <row r="7" spans="1:35" ht="15">
      <c r="A7" s="289"/>
      <c r="B7" s="289"/>
      <c r="C7" s="299" t="s">
        <v>369</v>
      </c>
      <c r="D7" s="300" t="s">
        <v>370</v>
      </c>
      <c r="E7" s="301" t="s">
        <v>366</v>
      </c>
      <c r="F7" s="302" t="s">
        <v>288</v>
      </c>
      <c r="G7" s="290"/>
      <c r="H7" s="289"/>
      <c r="I7" s="289"/>
      <c r="J7" s="289"/>
      <c r="K7" s="289"/>
      <c r="L7" s="289"/>
      <c r="M7" s="289"/>
    </row>
    <row r="8" spans="1:35" ht="15">
      <c r="A8" s="289"/>
      <c r="B8" s="289"/>
      <c r="C8" s="289"/>
      <c r="D8" s="303">
        <v>-1</v>
      </c>
      <c r="E8" s="303">
        <v>-2</v>
      </c>
      <c r="F8" s="294">
        <v>-3</v>
      </c>
      <c r="G8" s="290"/>
      <c r="H8" s="287" t="s">
        <v>373</v>
      </c>
      <c r="I8" s="304" t="s">
        <v>428</v>
      </c>
      <c r="J8" s="287" t="s">
        <v>857</v>
      </c>
      <c r="K8" s="305">
        <f>'B5'!D38</f>
        <v>238915418.067285</v>
      </c>
      <c r="L8" s="305">
        <f>'B5'!E38</f>
        <v>232312057.28500199</v>
      </c>
      <c r="M8" s="305">
        <f>'B5'!F38</f>
        <v>6603360.78228244</v>
      </c>
    </row>
    <row r="9" spans="1:35" ht="15">
      <c r="A9" s="289"/>
      <c r="B9" s="287" t="s">
        <v>582</v>
      </c>
      <c r="C9" s="289"/>
      <c r="D9" s="289"/>
      <c r="E9" s="289"/>
      <c r="F9" s="289"/>
      <c r="G9" s="290"/>
      <c r="H9" s="289"/>
      <c r="I9" s="289"/>
      <c r="J9" s="289"/>
      <c r="K9" s="289"/>
      <c r="L9" s="289"/>
      <c r="M9" s="289"/>
    </row>
    <row r="10" spans="1:35" ht="15">
      <c r="A10" s="289"/>
      <c r="B10" s="287"/>
      <c r="C10" s="289"/>
      <c r="D10" s="289"/>
      <c r="E10" s="289"/>
      <c r="F10" s="289"/>
      <c r="G10" s="290"/>
      <c r="H10" s="287" t="s">
        <v>377</v>
      </c>
      <c r="I10" s="287" t="s">
        <v>224</v>
      </c>
      <c r="J10" s="304" t="s">
        <v>555</v>
      </c>
      <c r="K10" s="306">
        <f>'B19'!D8</f>
        <v>0.21546984175813766</v>
      </c>
      <c r="L10" s="306">
        <f>+$K$10</f>
        <v>0.21546984175813766</v>
      </c>
      <c r="M10" s="306">
        <f>+$K$10</f>
        <v>0.21546984175813766</v>
      </c>
    </row>
    <row r="11" spans="1:35" ht="15">
      <c r="A11" s="307">
        <v>1</v>
      </c>
      <c r="B11" s="289" t="s">
        <v>583</v>
      </c>
      <c r="C11" s="308" t="s">
        <v>376</v>
      </c>
      <c r="D11" s="289">
        <f>INPUT!C154</f>
        <v>9042366</v>
      </c>
      <c r="E11" s="308" t="s">
        <v>383</v>
      </c>
      <c r="F11" s="289">
        <f>(D11*D31)</f>
        <v>4666896.5071135508</v>
      </c>
      <c r="G11" s="290"/>
      <c r="H11" s="289"/>
      <c r="I11" s="289"/>
      <c r="J11" s="287"/>
      <c r="K11" s="305"/>
      <c r="L11" s="305"/>
      <c r="M11" s="305"/>
    </row>
    <row r="12" spans="1:35" ht="15">
      <c r="A12" s="287"/>
      <c r="B12" s="287"/>
      <c r="C12" s="294"/>
      <c r="D12" s="305"/>
      <c r="E12" s="308"/>
      <c r="F12" s="289"/>
      <c r="G12" s="290"/>
      <c r="H12" s="287" t="s">
        <v>379</v>
      </c>
      <c r="I12" s="289" t="s">
        <v>517</v>
      </c>
      <c r="J12" s="304" t="s">
        <v>556</v>
      </c>
      <c r="K12" s="289">
        <f>+K8*K10</f>
        <v>51479067.324537203</v>
      </c>
      <c r="L12" s="289">
        <f>+L8*L10</f>
        <v>50056242.221706793</v>
      </c>
      <c r="M12" s="289">
        <f>+M8*M10</f>
        <v>1422825.1028302894</v>
      </c>
    </row>
    <row r="13" spans="1:35" ht="15">
      <c r="A13" s="287">
        <v>2</v>
      </c>
      <c r="B13" s="287" t="s">
        <v>584</v>
      </c>
      <c r="C13" s="294" t="s">
        <v>376</v>
      </c>
      <c r="D13" s="305">
        <f>INPUT!C155</f>
        <v>74324513</v>
      </c>
      <c r="E13" s="308" t="s">
        <v>385</v>
      </c>
      <c r="F13" s="289">
        <f>D13*'B6'!$F$20</f>
        <v>35177861.444292493</v>
      </c>
      <c r="G13" s="290"/>
      <c r="H13" s="287"/>
      <c r="I13" s="287"/>
      <c r="J13" s="287"/>
      <c r="K13" s="305"/>
      <c r="L13" s="305"/>
      <c r="M13" s="305"/>
    </row>
    <row r="14" spans="1:35" ht="15">
      <c r="A14" s="307"/>
      <c r="B14" s="289"/>
      <c r="C14" s="308"/>
      <c r="D14" s="289"/>
      <c r="E14" s="308"/>
      <c r="F14" s="289"/>
      <c r="G14" s="290"/>
      <c r="H14" s="287" t="s">
        <v>380</v>
      </c>
      <c r="I14" s="289" t="s">
        <v>514</v>
      </c>
      <c r="J14" s="304" t="s">
        <v>557</v>
      </c>
      <c r="K14" s="289">
        <f>'B19'!D24</f>
        <v>0</v>
      </c>
      <c r="L14" s="289">
        <f>+K14*'B19'!D34</f>
        <v>0</v>
      </c>
      <c r="M14" s="289">
        <f>+K14*'B19'!D35</f>
        <v>0</v>
      </c>
    </row>
    <row r="15" spans="1:35" ht="15">
      <c r="A15" s="287">
        <v>3</v>
      </c>
      <c r="B15" s="287" t="s">
        <v>521</v>
      </c>
      <c r="C15" s="308" t="s">
        <v>376</v>
      </c>
      <c r="D15" s="305">
        <f>+INPUT!C157</f>
        <v>16445895</v>
      </c>
      <c r="E15" s="303" t="s">
        <v>385</v>
      </c>
      <c r="F15" s="289">
        <f>(INPUT!C157*'B6'!$F$20)</f>
        <v>7783857.468899698</v>
      </c>
      <c r="G15" s="290"/>
      <c r="H15" s="287"/>
      <c r="I15" s="304"/>
      <c r="J15" s="304"/>
      <c r="K15" s="309"/>
      <c r="L15" s="309"/>
      <c r="M15" s="309"/>
    </row>
    <row r="16" spans="1:35" ht="15">
      <c r="A16" s="307"/>
      <c r="B16" s="289"/>
      <c r="C16" s="308"/>
      <c r="D16" s="289"/>
      <c r="E16" s="308"/>
      <c r="F16" s="289"/>
      <c r="G16" s="290"/>
      <c r="H16" s="287" t="s">
        <v>381</v>
      </c>
      <c r="I16" s="287" t="s">
        <v>153</v>
      </c>
      <c r="J16" s="287" t="s">
        <v>518</v>
      </c>
      <c r="K16" s="305">
        <f>+K12+K14</f>
        <v>51479067.324537203</v>
      </c>
      <c r="L16" s="305">
        <f>+L12+L14</f>
        <v>50056242.221706793</v>
      </c>
      <c r="M16" s="305">
        <f>+M12+M14</f>
        <v>1422825.1028302894</v>
      </c>
    </row>
    <row r="17" spans="1:13" ht="15">
      <c r="A17" s="287">
        <v>4</v>
      </c>
      <c r="B17" s="287" t="s">
        <v>69</v>
      </c>
      <c r="C17" s="308" t="s">
        <v>376</v>
      </c>
      <c r="D17" s="305">
        <f>INPUT!C156</f>
        <v>21043738</v>
      </c>
      <c r="E17" s="310" t="s">
        <v>272</v>
      </c>
      <c r="F17" s="289">
        <f>+D17</f>
        <v>21043738</v>
      </c>
      <c r="G17" s="290"/>
      <c r="H17" s="290"/>
      <c r="I17" s="290"/>
      <c r="J17" s="290"/>
      <c r="K17" s="290"/>
      <c r="L17" s="290"/>
      <c r="M17" s="290"/>
    </row>
    <row r="18" spans="1:13" ht="15">
      <c r="A18" s="290"/>
      <c r="B18" s="290"/>
      <c r="C18" s="290"/>
      <c r="D18" s="290"/>
      <c r="E18" s="290"/>
      <c r="F18" s="290"/>
      <c r="G18" s="290"/>
      <c r="H18" s="289"/>
      <c r="I18" s="289"/>
      <c r="J18" s="289"/>
      <c r="K18" s="289"/>
      <c r="L18" s="289"/>
      <c r="M18" s="289"/>
    </row>
    <row r="19" spans="1:13" ht="15">
      <c r="A19" s="287">
        <v>5</v>
      </c>
      <c r="B19" s="287" t="s">
        <v>778</v>
      </c>
      <c r="C19" s="308" t="s">
        <v>376</v>
      </c>
      <c r="D19" s="289">
        <f>INPUT!C158</f>
        <v>13797134</v>
      </c>
      <c r="E19" s="308" t="s">
        <v>392</v>
      </c>
      <c r="F19" s="289">
        <v>0</v>
      </c>
      <c r="G19" s="290"/>
      <c r="H19" s="304" t="s">
        <v>662</v>
      </c>
      <c r="I19" s="290"/>
      <c r="J19" s="290"/>
      <c r="K19" s="290"/>
      <c r="L19" s="290"/>
      <c r="M19" s="290"/>
    </row>
    <row r="20" spans="1:13" ht="15">
      <c r="A20" s="307"/>
      <c r="B20" s="287"/>
      <c r="C20" s="303"/>
      <c r="D20" s="305"/>
      <c r="E20" s="289"/>
      <c r="F20" s="305"/>
      <c r="G20" s="290"/>
      <c r="H20" s="290"/>
      <c r="I20" s="290"/>
      <c r="J20" s="290"/>
      <c r="K20" s="290"/>
      <c r="L20" s="290"/>
      <c r="M20" s="290"/>
    </row>
    <row r="21" spans="1:13" ht="15">
      <c r="A21" s="307">
        <v>6</v>
      </c>
      <c r="B21" s="289" t="s">
        <v>179</v>
      </c>
      <c r="C21" s="311" t="s">
        <v>746</v>
      </c>
      <c r="D21" s="289">
        <f>SUM(D11:D19)</f>
        <v>134653646</v>
      </c>
      <c r="E21" s="289"/>
      <c r="F21" s="289">
        <f>SUM(F11:F19)</f>
        <v>68672353.420305744</v>
      </c>
      <c r="G21" s="290"/>
      <c r="H21" s="290"/>
      <c r="I21" s="290"/>
      <c r="J21" s="290"/>
      <c r="K21" s="290"/>
      <c r="L21" s="290"/>
      <c r="M21" s="290"/>
    </row>
    <row r="22" spans="1:13" ht="15">
      <c r="A22" s="287"/>
      <c r="B22" s="287"/>
      <c r="C22" s="303"/>
      <c r="D22" s="305"/>
      <c r="E22" s="289"/>
      <c r="F22" s="305"/>
      <c r="G22" s="290"/>
      <c r="H22" s="290"/>
      <c r="I22" s="290"/>
      <c r="J22" s="290"/>
      <c r="K22" s="290"/>
      <c r="L22" s="290"/>
      <c r="M22" s="290"/>
    </row>
    <row r="23" spans="1:13" ht="15">
      <c r="A23" s="289"/>
      <c r="B23" s="289"/>
      <c r="C23" s="289"/>
      <c r="D23" s="289"/>
      <c r="E23" s="289"/>
      <c r="F23" s="289"/>
      <c r="G23" s="290"/>
      <c r="H23" s="290"/>
      <c r="I23" s="290"/>
      <c r="J23" s="290"/>
      <c r="K23" s="290"/>
      <c r="L23" s="290"/>
      <c r="M23" s="290"/>
    </row>
    <row r="24" spans="1:13" ht="15">
      <c r="A24" s="289" t="s">
        <v>398</v>
      </c>
      <c r="B24" s="289" t="s">
        <v>802</v>
      </c>
      <c r="C24" s="289"/>
      <c r="D24" s="289"/>
      <c r="E24" s="289"/>
      <c r="F24" s="289"/>
      <c r="G24" s="290"/>
      <c r="H24" s="290"/>
      <c r="I24" s="290"/>
      <c r="J24" s="290"/>
      <c r="K24" s="290"/>
      <c r="L24" s="290"/>
      <c r="M24" s="290"/>
    </row>
    <row r="25" spans="1:13" ht="15">
      <c r="A25" s="287"/>
      <c r="B25" s="287"/>
      <c r="C25" s="289"/>
      <c r="D25" s="289"/>
      <c r="E25" s="289"/>
      <c r="F25" s="289"/>
      <c r="G25" s="290"/>
      <c r="H25" s="290"/>
      <c r="I25" s="290"/>
      <c r="J25" s="290"/>
      <c r="K25" s="290"/>
      <c r="L25" s="290"/>
      <c r="M25" s="290"/>
    </row>
    <row r="26" spans="1:13" ht="15">
      <c r="A26" s="289" t="s">
        <v>400</v>
      </c>
      <c r="B26" s="304" t="s">
        <v>594</v>
      </c>
      <c r="C26" s="289"/>
      <c r="D26" s="289"/>
      <c r="E26" s="289"/>
      <c r="F26" s="289"/>
      <c r="G26" s="290"/>
      <c r="H26" s="290"/>
      <c r="I26" s="290"/>
      <c r="J26" s="290"/>
      <c r="K26" s="290"/>
      <c r="L26" s="290"/>
      <c r="M26" s="290"/>
    </row>
    <row r="27" spans="1:13" ht="15">
      <c r="A27" s="289"/>
      <c r="B27" s="312" t="s">
        <v>660</v>
      </c>
      <c r="C27" s="289"/>
      <c r="D27" s="289"/>
      <c r="E27" s="289"/>
      <c r="F27" s="289"/>
      <c r="G27" s="290"/>
      <c r="H27" s="290"/>
      <c r="I27" s="290"/>
      <c r="J27" s="290"/>
      <c r="K27" s="290"/>
      <c r="L27" s="290"/>
      <c r="M27" s="290"/>
    </row>
    <row r="28" spans="1:13" ht="15">
      <c r="A28" s="289"/>
      <c r="B28" s="312" t="s">
        <v>661</v>
      </c>
      <c r="C28" s="289"/>
      <c r="D28" s="289"/>
      <c r="E28" s="289"/>
      <c r="F28" s="289"/>
      <c r="G28" s="290"/>
      <c r="H28" s="290"/>
      <c r="I28" s="290"/>
      <c r="J28" s="290"/>
      <c r="K28" s="290"/>
      <c r="L28" s="290"/>
      <c r="M28" s="290"/>
    </row>
    <row r="29" spans="1:13" ht="15">
      <c r="A29" s="289"/>
      <c r="B29" s="304"/>
      <c r="C29" s="313" t="s">
        <v>217</v>
      </c>
      <c r="D29" s="313" t="s">
        <v>218</v>
      </c>
      <c r="E29" s="289"/>
      <c r="F29" s="289"/>
      <c r="G29" s="290"/>
      <c r="H29" s="290"/>
      <c r="I29" s="290"/>
      <c r="J29" s="290"/>
      <c r="K29" s="290"/>
      <c r="L29" s="290"/>
      <c r="M29" s="290"/>
    </row>
    <row r="30" spans="1:13" ht="15">
      <c r="A30" s="289"/>
      <c r="B30" s="304" t="s">
        <v>223</v>
      </c>
      <c r="C30" s="289">
        <f>'B7'!F50</f>
        <v>165601260</v>
      </c>
      <c r="D30" s="314">
        <v>1</v>
      </c>
      <c r="E30" s="289"/>
      <c r="F30" s="289"/>
      <c r="G30" s="290"/>
      <c r="H30" s="290"/>
      <c r="I30" s="290"/>
      <c r="J30" s="290"/>
      <c r="K30" s="290"/>
      <c r="L30" s="290"/>
      <c r="M30" s="290"/>
    </row>
    <row r="31" spans="1:13" ht="15">
      <c r="A31" s="290"/>
      <c r="B31" s="289" t="s">
        <v>229</v>
      </c>
      <c r="C31" s="289">
        <f>'B7'!F52</f>
        <v>85469217</v>
      </c>
      <c r="D31" s="315">
        <f>'B7'!F53</f>
        <v>0.5161145332</v>
      </c>
      <c r="E31" s="289"/>
      <c r="F31" s="289"/>
      <c r="G31" s="290"/>
      <c r="H31" s="290"/>
      <c r="I31" s="290"/>
      <c r="J31" s="290"/>
      <c r="K31" s="290"/>
      <c r="L31" s="290"/>
      <c r="M31" s="290"/>
    </row>
    <row r="32" spans="1:13" ht="15">
      <c r="A32" s="289"/>
      <c r="B32" s="287" t="s">
        <v>272</v>
      </c>
      <c r="C32" s="305" t="s">
        <v>272</v>
      </c>
      <c r="D32" s="316" t="s">
        <v>272</v>
      </c>
      <c r="E32" s="289"/>
      <c r="F32" s="289"/>
      <c r="G32" s="290"/>
      <c r="H32" s="290"/>
      <c r="I32" s="290"/>
      <c r="J32" s="290"/>
      <c r="K32" s="290"/>
      <c r="L32" s="290"/>
      <c r="M32" s="290"/>
    </row>
    <row r="33" spans="1:13" ht="15">
      <c r="A33" s="290"/>
      <c r="B33" s="290"/>
      <c r="C33" s="305"/>
      <c r="D33" s="317"/>
      <c r="E33" s="289"/>
      <c r="F33" s="289"/>
      <c r="G33" s="290"/>
      <c r="H33" s="290"/>
      <c r="I33" s="290"/>
      <c r="J33" s="290"/>
      <c r="K33" s="290"/>
      <c r="L33" s="290"/>
      <c r="M33" s="290"/>
    </row>
    <row r="34" spans="1:13" ht="15">
      <c r="A34" s="289" t="s">
        <v>402</v>
      </c>
      <c r="B34" s="287" t="s">
        <v>585</v>
      </c>
      <c r="C34" s="289"/>
      <c r="D34" s="289"/>
      <c r="E34" s="289"/>
      <c r="F34" s="289"/>
      <c r="G34" s="290"/>
      <c r="H34" s="290"/>
      <c r="I34" s="290"/>
      <c r="J34" s="290"/>
      <c r="K34" s="290"/>
      <c r="L34" s="290"/>
      <c r="M34" s="290"/>
    </row>
    <row r="35" spans="1:13" ht="15">
      <c r="A35" s="289"/>
      <c r="B35" s="312" t="s">
        <v>804</v>
      </c>
      <c r="C35" s="289"/>
      <c r="D35" s="289"/>
      <c r="E35" s="289"/>
      <c r="F35" s="289"/>
      <c r="G35" s="290"/>
      <c r="H35" s="290"/>
      <c r="I35" s="290"/>
      <c r="J35" s="290"/>
      <c r="K35" s="290"/>
      <c r="L35" s="290"/>
      <c r="M35" s="290"/>
    </row>
    <row r="36" spans="1:13" ht="15">
      <c r="A36" s="287"/>
      <c r="B36" s="287"/>
      <c r="C36" s="289"/>
      <c r="D36" s="289"/>
      <c r="E36" s="289"/>
      <c r="F36" s="289"/>
      <c r="G36" s="290"/>
      <c r="H36" s="290"/>
      <c r="I36" s="290"/>
      <c r="J36" s="290"/>
      <c r="K36" s="290"/>
      <c r="L36" s="290"/>
      <c r="M36" s="290"/>
    </row>
    <row r="37" spans="1:13" ht="15">
      <c r="A37" s="289" t="s">
        <v>404</v>
      </c>
      <c r="B37" s="304" t="s">
        <v>586</v>
      </c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</row>
    <row r="38" spans="1:13" ht="15">
      <c r="A38" s="290"/>
      <c r="B38" s="290"/>
      <c r="C38" s="290"/>
      <c r="D38" s="290"/>
      <c r="E38" s="290"/>
      <c r="F38" s="290"/>
      <c r="G38" s="290"/>
      <c r="H38" s="290"/>
      <c r="I38" s="290"/>
      <c r="J38" s="290"/>
      <c r="K38" s="290"/>
      <c r="L38" s="290"/>
      <c r="M38" s="290"/>
    </row>
    <row r="39" spans="1:13" ht="15">
      <c r="A39" s="289" t="s">
        <v>272</v>
      </c>
      <c r="B39" s="287" t="s">
        <v>272</v>
      </c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90"/>
    </row>
    <row r="40" spans="1:13">
      <c r="B40" s="37" t="s">
        <v>272</v>
      </c>
    </row>
  </sheetData>
  <phoneticPr fontId="15" type="noConversion"/>
  <printOptions horizontalCentered="1"/>
  <pageMargins left="1" right="0.75" top="1" bottom="1" header="0.5" footer="0.5"/>
  <pageSetup scale="68" orientation="portrait" r:id="rId1"/>
  <headerFooter alignWithMargins="0"/>
  <colBreaks count="1" manualBreakCount="1">
    <brk id="7" max="3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I37"/>
  <sheetViews>
    <sheetView view="pageBreakPreview" zoomScaleNormal="100" zoomScaleSheetLayoutView="100" workbookViewId="0">
      <selection activeCell="B12" sqref="B12"/>
    </sheetView>
  </sheetViews>
  <sheetFormatPr defaultColWidth="9" defaultRowHeight="12"/>
  <cols>
    <col min="1" max="1" width="5.25" style="3" customWidth="1"/>
    <col min="2" max="2" width="39.25" style="3" bestFit="1" customWidth="1"/>
    <col min="3" max="3" width="22.625" style="3" customWidth="1"/>
    <col min="4" max="4" width="21.875" style="3" customWidth="1"/>
    <col min="5" max="5" width="9" style="3"/>
    <col min="6" max="6" width="9.625" style="3" bestFit="1" customWidth="1"/>
    <col min="7" max="7" width="11.875" style="3" bestFit="1" customWidth="1"/>
    <col min="8" max="8" width="9.625" style="3" bestFit="1" customWidth="1"/>
    <col min="9" max="16384" width="9" style="3"/>
  </cols>
  <sheetData>
    <row r="1" spans="1:35" ht="12.75">
      <c r="A1" s="2" t="s">
        <v>51</v>
      </c>
      <c r="B1"/>
      <c r="D1" s="41" t="s">
        <v>975</v>
      </c>
      <c r="L1" s="41" t="s">
        <v>272</v>
      </c>
      <c r="W1" s="3" t="s">
        <v>784</v>
      </c>
      <c r="AC1" s="3" t="s">
        <v>784</v>
      </c>
      <c r="AI1" s="3" t="s">
        <v>784</v>
      </c>
    </row>
    <row r="2" spans="1:35">
      <c r="A2" s="30" t="str">
        <f>INPUT!$B$2</f>
        <v>12 Months Ending 12/31/2018 (actuals) for 2019</v>
      </c>
      <c r="D2" s="24" t="s">
        <v>52</v>
      </c>
    </row>
    <row r="4" spans="1:35">
      <c r="A4" s="19" t="s">
        <v>65</v>
      </c>
      <c r="C4" s="19" t="s">
        <v>1069</v>
      </c>
      <c r="D4" s="274" t="s">
        <v>1072</v>
      </c>
    </row>
    <row r="5" spans="1:35">
      <c r="A5" s="225" t="s">
        <v>74</v>
      </c>
      <c r="B5" s="19" t="s">
        <v>272</v>
      </c>
      <c r="C5" s="19">
        <v>-1</v>
      </c>
      <c r="D5" s="19">
        <v>-2</v>
      </c>
    </row>
    <row r="6" spans="1:35" ht="14.25">
      <c r="A6" s="2" t="s">
        <v>373</v>
      </c>
      <c r="B6" s="95" t="s">
        <v>1088</v>
      </c>
      <c r="C6" s="73"/>
      <c r="D6" s="280">
        <f>1-(((1-D16)*(1-D15))/(1-D16*D15*D17))</f>
        <v>0.23962499999999998</v>
      </c>
      <c r="F6" s="74"/>
    </row>
    <row r="7" spans="1:35" ht="14.25">
      <c r="A7" s="96"/>
      <c r="D7" s="280"/>
    </row>
    <row r="8" spans="1:35" ht="14.25">
      <c r="A8" s="97" t="s">
        <v>275</v>
      </c>
      <c r="B8" s="98" t="s">
        <v>502</v>
      </c>
      <c r="C8" s="73"/>
      <c r="D8" s="280">
        <f>(D6/(1-D6))*(1-(D18/D19))</f>
        <v>0.21546984175813766</v>
      </c>
      <c r="F8" s="74"/>
    </row>
    <row r="9" spans="1:35" ht="14.25">
      <c r="A9" s="97"/>
      <c r="C9" s="229" t="s">
        <v>272</v>
      </c>
      <c r="D9" s="281"/>
    </row>
    <row r="10" spans="1:35" ht="14.25">
      <c r="A10" s="97" t="s">
        <v>276</v>
      </c>
      <c r="B10" s="98" t="s">
        <v>1073</v>
      </c>
      <c r="C10" s="73"/>
      <c r="D10" s="282"/>
      <c r="F10" s="73"/>
    </row>
    <row r="11" spans="1:35" ht="14.25">
      <c r="A11" s="97"/>
      <c r="B11" s="98" t="s">
        <v>1090</v>
      </c>
      <c r="D11" s="281"/>
      <c r="F11" s="73"/>
    </row>
    <row r="12" spans="1:35" ht="14.25">
      <c r="A12" s="97"/>
      <c r="B12" s="98"/>
      <c r="D12" s="281"/>
      <c r="F12" s="73"/>
    </row>
    <row r="13" spans="1:35" ht="14.25">
      <c r="A13" s="97" t="s">
        <v>278</v>
      </c>
      <c r="B13" s="98" t="s">
        <v>503</v>
      </c>
      <c r="D13" s="283">
        <f>1/(1-D6)</f>
        <v>1.3151405556468847</v>
      </c>
      <c r="F13" s="73"/>
    </row>
    <row r="14" spans="1:35" ht="14.25">
      <c r="A14" s="97"/>
      <c r="C14" s="73"/>
      <c r="D14" s="282"/>
      <c r="E14" s="73"/>
      <c r="F14" s="73"/>
    </row>
    <row r="15" spans="1:35" ht="14.25">
      <c r="A15" s="97" t="s">
        <v>269</v>
      </c>
      <c r="B15" s="99" t="s">
        <v>504</v>
      </c>
      <c r="C15" s="3" t="s">
        <v>505</v>
      </c>
      <c r="D15" s="280">
        <f>INPUT!C160</f>
        <v>0.21</v>
      </c>
      <c r="F15" s="73"/>
    </row>
    <row r="16" spans="1:35" ht="14.25">
      <c r="A16" s="97" t="s">
        <v>270</v>
      </c>
      <c r="B16" s="99" t="s">
        <v>506</v>
      </c>
      <c r="C16" s="3" t="s">
        <v>507</v>
      </c>
      <c r="D16" s="280">
        <f>INPUT!C161</f>
        <v>3.7500000000000006E-2</v>
      </c>
      <c r="F16" s="73"/>
    </row>
    <row r="17" spans="1:8" ht="14.25">
      <c r="A17" s="97" t="s">
        <v>271</v>
      </c>
      <c r="B17" s="102" t="s">
        <v>648</v>
      </c>
      <c r="C17" s="3" t="s">
        <v>1089</v>
      </c>
      <c r="D17" s="280">
        <f>INPUT!C162</f>
        <v>0</v>
      </c>
      <c r="F17" s="73"/>
    </row>
    <row r="18" spans="1:8" ht="14.25">
      <c r="A18" s="97" t="s">
        <v>282</v>
      </c>
      <c r="B18" s="99" t="s">
        <v>508</v>
      </c>
      <c r="C18" s="3" t="s">
        <v>509</v>
      </c>
      <c r="D18" s="280">
        <f>'B11-B14'!H11</f>
        <v>2.3814380199999999E-2</v>
      </c>
      <c r="E18" s="74"/>
      <c r="F18" s="74"/>
    </row>
    <row r="19" spans="1:8" ht="14.25">
      <c r="A19" s="97" t="s">
        <v>284</v>
      </c>
      <c r="B19" s="99" t="s">
        <v>510</v>
      </c>
      <c r="C19" s="3" t="s">
        <v>511</v>
      </c>
      <c r="D19" s="280">
        <f>'B11-B14'!H17</f>
        <v>7.5296711699999991E-2</v>
      </c>
      <c r="F19" s="73"/>
    </row>
    <row r="20" spans="1:8" ht="14.25">
      <c r="A20" s="97"/>
      <c r="D20" s="280"/>
    </row>
    <row r="21" spans="1:8" ht="14.25">
      <c r="A21" s="97" t="s">
        <v>391</v>
      </c>
      <c r="B21" s="98" t="s">
        <v>512</v>
      </c>
      <c r="C21" s="101" t="s">
        <v>558</v>
      </c>
      <c r="D21" s="280">
        <f>INPUT!C163</f>
        <v>0</v>
      </c>
    </row>
    <row r="22" spans="1:8" ht="14.25">
      <c r="A22" s="97" t="s">
        <v>393</v>
      </c>
      <c r="B22" s="98" t="s">
        <v>600</v>
      </c>
      <c r="C22" s="102" t="s">
        <v>747</v>
      </c>
      <c r="D22" s="280">
        <f>+D33</f>
        <v>0.47330093427945336</v>
      </c>
    </row>
    <row r="23" spans="1:8" ht="14.25">
      <c r="A23" s="97" t="s">
        <v>394</v>
      </c>
      <c r="B23" s="73" t="s">
        <v>513</v>
      </c>
      <c r="C23" s="100" t="s">
        <v>803</v>
      </c>
      <c r="D23" s="280">
        <f>+D21*D22</f>
        <v>0</v>
      </c>
    </row>
    <row r="24" spans="1:8" ht="14.25">
      <c r="A24" s="97" t="s">
        <v>395</v>
      </c>
      <c r="B24" s="73" t="s">
        <v>514</v>
      </c>
      <c r="C24" s="102" t="s">
        <v>559</v>
      </c>
      <c r="D24" s="280">
        <f>+D23*D13</f>
        <v>0</v>
      </c>
    </row>
    <row r="25" spans="1:8" ht="14.25">
      <c r="D25" s="281"/>
    </row>
    <row r="26" spans="1:8" ht="14.25">
      <c r="D26" s="281"/>
    </row>
    <row r="27" spans="1:8" ht="14.25">
      <c r="A27" s="97" t="s">
        <v>399</v>
      </c>
      <c r="B27" s="139" t="s">
        <v>601</v>
      </c>
      <c r="D27" s="286" t="s">
        <v>77</v>
      </c>
      <c r="E27" s="4"/>
    </row>
    <row r="28" spans="1:8" ht="14.25">
      <c r="A28" s="97" t="s">
        <v>401</v>
      </c>
      <c r="B28" s="4" t="s">
        <v>515</v>
      </c>
      <c r="C28" s="32" t="s">
        <v>1062</v>
      </c>
      <c r="D28" s="284">
        <f>'B6'!D16</f>
        <v>14114381924.82</v>
      </c>
      <c r="E28" s="14"/>
      <c r="F28" s="75"/>
    </row>
    <row r="29" spans="1:8" ht="14.25">
      <c r="A29" s="97" t="s">
        <v>403</v>
      </c>
      <c r="B29" s="3" t="s">
        <v>516</v>
      </c>
      <c r="C29" s="32" t="s">
        <v>1074</v>
      </c>
      <c r="D29" s="281">
        <f>'B6'!F16</f>
        <v>6680350151.7943354</v>
      </c>
      <c r="E29" s="14"/>
      <c r="F29" s="75"/>
      <c r="G29" s="75"/>
    </row>
    <row r="30" spans="1:8" ht="14.25">
      <c r="A30" s="97" t="s">
        <v>405</v>
      </c>
      <c r="B30" s="3" t="s">
        <v>602</v>
      </c>
      <c r="C30" s="32" t="s">
        <v>748</v>
      </c>
      <c r="D30" s="281">
        <f>'B6'!G16</f>
        <v>6613743964.1233187</v>
      </c>
      <c r="E30" s="14"/>
      <c r="F30" s="75"/>
      <c r="H30" s="75"/>
    </row>
    <row r="31" spans="1:8" ht="14.25">
      <c r="A31" s="200" t="s">
        <v>406</v>
      </c>
      <c r="B31" s="3" t="s">
        <v>603</v>
      </c>
      <c r="C31" s="32" t="s">
        <v>749</v>
      </c>
      <c r="D31" s="281">
        <f>'B6'!H16</f>
        <v>66606187.671017215</v>
      </c>
      <c r="E31" s="76"/>
      <c r="F31" s="75"/>
    </row>
    <row r="32" spans="1:8" ht="14.25">
      <c r="C32" s="32"/>
      <c r="D32" s="281"/>
      <c r="F32" s="75"/>
      <c r="G32" s="75"/>
      <c r="H32" s="75"/>
    </row>
    <row r="33" spans="1:8" ht="14.25">
      <c r="A33" s="97" t="s">
        <v>407</v>
      </c>
      <c r="B33" s="3" t="s">
        <v>604</v>
      </c>
      <c r="C33" s="32" t="s">
        <v>861</v>
      </c>
      <c r="D33" s="285">
        <f>+D29/D28</f>
        <v>0.47330093427945336</v>
      </c>
      <c r="F33" s="75"/>
    </row>
    <row r="34" spans="1:8" ht="14.25">
      <c r="A34" s="97" t="s">
        <v>408</v>
      </c>
      <c r="B34" s="3" t="s">
        <v>605</v>
      </c>
      <c r="C34" s="32" t="s">
        <v>862</v>
      </c>
      <c r="D34" s="285">
        <f>+D30/D29</f>
        <v>0.99002953645279712</v>
      </c>
      <c r="F34" s="75"/>
      <c r="H34" s="75"/>
    </row>
    <row r="35" spans="1:8" ht="14.25">
      <c r="A35" s="97" t="s">
        <v>409</v>
      </c>
      <c r="B35" s="3" t="s">
        <v>606</v>
      </c>
      <c r="C35" s="32" t="s">
        <v>607</v>
      </c>
      <c r="D35" s="285">
        <f>+D31/D29</f>
        <v>9.9704635472029658E-3</v>
      </c>
      <c r="F35" s="75"/>
    </row>
    <row r="36" spans="1:8">
      <c r="A36" s="97"/>
      <c r="C36" s="32"/>
      <c r="D36" s="91"/>
      <c r="F36" s="75"/>
    </row>
    <row r="37" spans="1:8">
      <c r="A37" s="3" t="s">
        <v>860</v>
      </c>
    </row>
  </sheetData>
  <phoneticPr fontId="15" type="noConversion"/>
  <printOptions horizontalCentered="1"/>
  <pageMargins left="1" right="0.75" top="1" bottom="1" header="0.5" footer="0.5"/>
  <pageSetup scale="8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3"/>
  <sheetViews>
    <sheetView view="pageBreakPreview" zoomScale="115" zoomScaleNormal="100" zoomScaleSheetLayoutView="115" workbookViewId="0">
      <selection activeCell="B12" sqref="B12"/>
    </sheetView>
  </sheetViews>
  <sheetFormatPr defaultRowHeight="12"/>
  <sheetData>
    <row r="1" spans="1:9" ht="12.75">
      <c r="A1" s="2" t="s">
        <v>272</v>
      </c>
      <c r="C1" s="3"/>
      <c r="I1" s="41" t="s">
        <v>975</v>
      </c>
    </row>
    <row r="2" spans="1:9" ht="12.75">
      <c r="A2" s="30" t="s">
        <v>272</v>
      </c>
      <c r="B2" s="3" t="s">
        <v>272</v>
      </c>
      <c r="C2" s="330" t="s">
        <v>815</v>
      </c>
      <c r="D2" s="338"/>
      <c r="E2" s="338"/>
      <c r="F2" s="338"/>
      <c r="G2" s="338"/>
      <c r="I2" s="24" t="s">
        <v>976</v>
      </c>
    </row>
    <row r="3" spans="1:9" ht="12.75">
      <c r="C3" s="339" t="s">
        <v>811</v>
      </c>
      <c r="D3" s="339"/>
      <c r="E3" s="339"/>
      <c r="F3" s="339"/>
      <c r="G3" s="339"/>
      <c r="I3" s="24" t="s">
        <v>977</v>
      </c>
    </row>
    <row r="4" spans="1:9" ht="12.75">
      <c r="C4" s="19" t="s">
        <v>272</v>
      </c>
      <c r="D4" s="19" t="s">
        <v>1031</v>
      </c>
      <c r="E4" s="19"/>
      <c r="F4" s="19"/>
      <c r="G4" s="19"/>
      <c r="I4" s="24"/>
    </row>
    <row r="5" spans="1:9" ht="12.75">
      <c r="C5" s="337" t="s">
        <v>1138</v>
      </c>
      <c r="D5" s="338"/>
      <c r="E5" s="338"/>
      <c r="F5" s="338"/>
      <c r="G5" s="338"/>
    </row>
    <row r="9" spans="1:9" ht="12.75">
      <c r="A9" s="220" t="s">
        <v>1030</v>
      </c>
      <c r="B9" s="220"/>
      <c r="C9" s="220"/>
      <c r="D9" s="220"/>
      <c r="E9" s="220"/>
      <c r="F9" s="220"/>
      <c r="G9" s="220"/>
      <c r="H9" s="220"/>
    </row>
    <row r="10" spans="1:9" ht="12.75">
      <c r="A10" s="220" t="s">
        <v>1029</v>
      </c>
      <c r="B10" s="220"/>
      <c r="C10" s="220"/>
      <c r="D10" s="220"/>
      <c r="E10" s="220"/>
      <c r="F10" s="220"/>
      <c r="G10" s="220"/>
      <c r="H10" s="220"/>
    </row>
    <row r="11" spans="1:9" ht="12.75">
      <c r="A11" s="220"/>
      <c r="B11" s="220"/>
      <c r="C11" s="220"/>
      <c r="D11" s="220"/>
      <c r="E11" s="220"/>
      <c r="F11" s="220"/>
      <c r="G11" s="220"/>
      <c r="H11" s="220"/>
    </row>
    <row r="12" spans="1:9" ht="12.75">
      <c r="A12" s="220"/>
      <c r="B12" s="220"/>
      <c r="C12" s="220"/>
      <c r="D12" s="220"/>
      <c r="E12" s="220"/>
      <c r="F12" s="220"/>
      <c r="G12" s="220"/>
      <c r="H12" s="220"/>
    </row>
    <row r="13" spans="1:9" ht="12.75">
      <c r="A13" s="220" t="s">
        <v>978</v>
      </c>
      <c r="B13" s="220"/>
      <c r="C13" s="220"/>
      <c r="D13" s="220"/>
      <c r="E13" s="220"/>
      <c r="F13" s="220"/>
      <c r="G13" s="220"/>
      <c r="H13" s="220"/>
    </row>
    <row r="14" spans="1:9" ht="12.75">
      <c r="A14" s="220"/>
      <c r="B14" s="220"/>
      <c r="C14" s="220"/>
      <c r="D14" s="220"/>
      <c r="E14" s="220"/>
      <c r="F14" s="220"/>
      <c r="G14" s="220"/>
      <c r="H14" s="220"/>
    </row>
    <row r="15" spans="1:9" ht="12.75">
      <c r="A15" s="220" t="s">
        <v>979</v>
      </c>
      <c r="B15" s="220"/>
      <c r="C15" s="220"/>
      <c r="D15" s="220"/>
      <c r="E15" s="220"/>
      <c r="F15" s="220"/>
      <c r="G15" s="220"/>
      <c r="H15" s="220"/>
    </row>
    <row r="16" spans="1:9" ht="12.75">
      <c r="A16" s="220"/>
      <c r="B16" s="220"/>
      <c r="C16" s="220"/>
      <c r="D16" s="220"/>
      <c r="E16" s="220"/>
      <c r="F16" s="220"/>
      <c r="G16" s="220"/>
      <c r="H16" s="220"/>
    </row>
    <row r="17" spans="1:8" ht="12.75">
      <c r="A17" s="220"/>
      <c r="B17" s="221">
        <v>311</v>
      </c>
      <c r="C17" s="220" t="s">
        <v>980</v>
      </c>
      <c r="D17" s="220"/>
      <c r="E17" s="220"/>
      <c r="F17" s="220"/>
      <c r="G17" s="222">
        <v>2.4400000000000002E-2</v>
      </c>
      <c r="H17" s="220"/>
    </row>
    <row r="18" spans="1:8" ht="12.75">
      <c r="A18" s="220"/>
      <c r="B18" s="221">
        <v>312</v>
      </c>
      <c r="C18" s="220" t="s">
        <v>981</v>
      </c>
      <c r="D18" s="220"/>
      <c r="E18" s="220"/>
      <c r="F18" s="220"/>
      <c r="G18" s="222">
        <v>2.75E-2</v>
      </c>
      <c r="H18" s="220"/>
    </row>
    <row r="19" spans="1:8" ht="12.75">
      <c r="A19" s="220"/>
      <c r="B19" s="221">
        <v>312</v>
      </c>
      <c r="C19" s="220" t="s">
        <v>1139</v>
      </c>
      <c r="D19" s="220"/>
      <c r="E19" s="220"/>
      <c r="F19" s="220"/>
      <c r="G19" s="222">
        <v>6.9900000000000004E-2</v>
      </c>
      <c r="H19" s="220"/>
    </row>
    <row r="20" spans="1:8" ht="12.75">
      <c r="A20" s="220"/>
      <c r="B20" s="221">
        <v>314</v>
      </c>
      <c r="C20" s="220" t="s">
        <v>982</v>
      </c>
      <c r="D20" s="220"/>
      <c r="E20" s="220"/>
      <c r="F20" s="220"/>
      <c r="G20" s="222">
        <v>2.2800000000000001E-2</v>
      </c>
      <c r="H20" s="220"/>
    </row>
    <row r="21" spans="1:8" ht="12.75">
      <c r="A21" s="220"/>
      <c r="B21" s="221">
        <v>315</v>
      </c>
      <c r="C21" s="220" t="s">
        <v>983</v>
      </c>
      <c r="D21" s="220"/>
      <c r="E21" s="220"/>
      <c r="F21" s="220"/>
      <c r="G21" s="222">
        <v>1.7999999999999999E-2</v>
      </c>
      <c r="H21" s="220"/>
    </row>
    <row r="22" spans="1:8" ht="12.75">
      <c r="A22" s="220"/>
      <c r="B22" s="221">
        <v>316</v>
      </c>
      <c r="C22" s="220" t="s">
        <v>984</v>
      </c>
      <c r="D22" s="220"/>
      <c r="E22" s="220"/>
      <c r="F22" s="220"/>
      <c r="G22" s="222">
        <v>2.2100000000000002E-2</v>
      </c>
      <c r="H22" s="220"/>
    </row>
    <row r="23" spans="1:8" ht="12.75">
      <c r="A23" s="220"/>
      <c r="B23" s="221"/>
      <c r="C23" s="220"/>
      <c r="D23" s="220"/>
      <c r="E23" s="220"/>
      <c r="F23" s="220"/>
      <c r="G23" s="220"/>
      <c r="H23" s="220"/>
    </row>
    <row r="24" spans="1:8" ht="12.75">
      <c r="A24" s="220"/>
      <c r="B24" s="221"/>
      <c r="C24" s="220"/>
      <c r="D24" s="220"/>
      <c r="E24" s="220"/>
      <c r="F24" s="220"/>
      <c r="G24" s="220"/>
      <c r="H24" s="220"/>
    </row>
    <row r="25" spans="1:8" ht="12.75">
      <c r="A25" s="220" t="s">
        <v>985</v>
      </c>
      <c r="B25" s="221"/>
      <c r="C25" s="220"/>
      <c r="D25" s="220"/>
      <c r="E25" s="220"/>
      <c r="F25" s="220"/>
      <c r="G25" s="220"/>
      <c r="H25" s="220"/>
    </row>
    <row r="26" spans="1:8" ht="12.75">
      <c r="A26" s="220"/>
      <c r="B26" s="221"/>
      <c r="C26" s="220"/>
      <c r="D26" s="220"/>
      <c r="E26" s="220"/>
      <c r="F26" s="220"/>
      <c r="G26" s="220"/>
      <c r="H26" s="220"/>
    </row>
    <row r="27" spans="1:8" ht="12.75">
      <c r="A27" s="220"/>
      <c r="B27" s="221">
        <v>311</v>
      </c>
      <c r="C27" s="220" t="s">
        <v>980</v>
      </c>
      <c r="D27" s="220"/>
      <c r="E27" s="220"/>
      <c r="F27" s="220"/>
      <c r="G27" s="233" t="s">
        <v>1140</v>
      </c>
      <c r="H27" s="220"/>
    </row>
    <row r="28" spans="1:8" ht="12.75">
      <c r="A28" s="220"/>
      <c r="B28" s="221">
        <v>312</v>
      </c>
      <c r="C28" s="220" t="s">
        <v>981</v>
      </c>
      <c r="D28" s="220"/>
      <c r="E28" s="220"/>
      <c r="F28" s="220"/>
      <c r="G28" s="233" t="s">
        <v>1140</v>
      </c>
      <c r="H28" s="220"/>
    </row>
    <row r="29" spans="1:8" ht="12.75">
      <c r="A29" s="220"/>
      <c r="B29" s="221">
        <v>314</v>
      </c>
      <c r="C29" s="220" t="s">
        <v>982</v>
      </c>
      <c r="D29" s="220"/>
      <c r="E29" s="220"/>
      <c r="F29" s="220"/>
      <c r="G29" s="233" t="s">
        <v>1140</v>
      </c>
      <c r="H29" s="220"/>
    </row>
    <row r="30" spans="1:8" ht="12.75">
      <c r="A30" s="220"/>
      <c r="B30" s="221">
        <v>315</v>
      </c>
      <c r="C30" s="220" t="s">
        <v>983</v>
      </c>
      <c r="D30" s="220"/>
      <c r="E30" s="220"/>
      <c r="F30" s="220"/>
      <c r="G30" s="233" t="s">
        <v>1140</v>
      </c>
      <c r="H30" s="220"/>
    </row>
    <row r="31" spans="1:8" ht="12.75">
      <c r="A31" s="220"/>
      <c r="B31" s="221">
        <v>316</v>
      </c>
      <c r="C31" s="220" t="s">
        <v>984</v>
      </c>
      <c r="D31" s="220"/>
      <c r="E31" s="220"/>
      <c r="F31" s="220"/>
      <c r="G31" s="233" t="s">
        <v>1140</v>
      </c>
      <c r="H31" s="220"/>
    </row>
    <row r="32" spans="1:8" ht="12.75">
      <c r="A32" s="220"/>
      <c r="B32" s="221"/>
      <c r="C32" s="220"/>
      <c r="D32" s="220"/>
      <c r="E32" s="220"/>
      <c r="F32" s="220"/>
      <c r="G32" s="220"/>
      <c r="H32" s="220"/>
    </row>
    <row r="33" spans="1:8" ht="12.75">
      <c r="A33" s="220" t="s">
        <v>986</v>
      </c>
      <c r="B33" s="221"/>
      <c r="C33" s="220"/>
      <c r="D33" s="220"/>
      <c r="E33" s="220"/>
      <c r="F33" s="220"/>
      <c r="G33" s="220"/>
      <c r="H33" s="220"/>
    </row>
    <row r="34" spans="1:8" ht="12.75">
      <c r="A34" s="220"/>
      <c r="B34" s="221"/>
      <c r="C34" s="220"/>
      <c r="D34" s="220"/>
      <c r="E34" s="220"/>
      <c r="F34" s="220"/>
      <c r="G34" s="220"/>
      <c r="H34" s="220"/>
    </row>
    <row r="35" spans="1:8" ht="12.75">
      <c r="A35" s="220"/>
      <c r="B35" s="236">
        <v>311</v>
      </c>
      <c r="C35" s="235" t="s">
        <v>980</v>
      </c>
      <c r="D35" s="235"/>
      <c r="E35" s="235"/>
      <c r="F35" s="235"/>
      <c r="G35" s="237">
        <v>2.0299999999999999E-2</v>
      </c>
      <c r="H35" s="220"/>
    </row>
    <row r="36" spans="1:8" ht="12.75">
      <c r="A36" s="220"/>
      <c r="B36" s="236">
        <v>312</v>
      </c>
      <c r="C36" s="235" t="s">
        <v>981</v>
      </c>
      <c r="D36" s="235"/>
      <c r="E36" s="235"/>
      <c r="F36" s="235"/>
      <c r="G36" s="237">
        <v>3.2899999999999999E-2</v>
      </c>
      <c r="H36" s="220"/>
    </row>
    <row r="37" spans="1:8" ht="12.75">
      <c r="A37" s="220"/>
      <c r="B37" s="236">
        <v>312</v>
      </c>
      <c r="C37" s="235" t="s">
        <v>1139</v>
      </c>
      <c r="D37" s="235"/>
      <c r="E37" s="235"/>
      <c r="F37" s="235"/>
      <c r="G37" s="237">
        <v>6.0100000000000001E-2</v>
      </c>
      <c r="H37" s="220"/>
    </row>
    <row r="38" spans="1:8" ht="12.75">
      <c r="A38" s="220"/>
      <c r="B38" s="236">
        <v>314</v>
      </c>
      <c r="C38" s="235" t="s">
        <v>982</v>
      </c>
      <c r="D38" s="235"/>
      <c r="E38" s="235"/>
      <c r="F38" s="235"/>
      <c r="G38" s="237">
        <v>3.32E-2</v>
      </c>
      <c r="H38" s="220"/>
    </row>
    <row r="39" spans="1:8" ht="12.75">
      <c r="A39" s="220"/>
      <c r="B39" s="236">
        <v>315</v>
      </c>
      <c r="C39" s="235" t="s">
        <v>983</v>
      </c>
      <c r="D39" s="235"/>
      <c r="E39" s="235"/>
      <c r="F39" s="235"/>
      <c r="G39" s="237">
        <v>2.7900000000000001E-2</v>
      </c>
      <c r="H39" s="220"/>
    </row>
    <row r="40" spans="1:8" ht="12.75">
      <c r="A40" s="220"/>
      <c r="B40" s="236">
        <v>316</v>
      </c>
      <c r="C40" s="235" t="s">
        <v>984</v>
      </c>
      <c r="D40" s="235"/>
      <c r="E40" s="235"/>
      <c r="F40" s="235"/>
      <c r="G40" s="237">
        <v>3.1E-2</v>
      </c>
      <c r="H40" s="220"/>
    </row>
    <row r="41" spans="1:8" ht="12.75">
      <c r="A41" s="220"/>
      <c r="B41" s="221"/>
      <c r="C41" s="220"/>
      <c r="D41" s="220"/>
      <c r="E41" s="220"/>
      <c r="F41" s="220"/>
      <c r="G41" s="222"/>
      <c r="H41" s="220"/>
    </row>
    <row r="42" spans="1:8" ht="12.75">
      <c r="A42" s="220"/>
      <c r="B42" s="221"/>
      <c r="C42" s="220"/>
      <c r="D42" s="220"/>
      <c r="E42" s="220"/>
      <c r="F42" s="220"/>
      <c r="G42" s="222"/>
      <c r="H42" s="220"/>
    </row>
    <row r="43" spans="1:8" ht="12.75">
      <c r="A43" s="220" t="s">
        <v>987</v>
      </c>
      <c r="B43" s="221"/>
      <c r="C43" s="220"/>
      <c r="D43" s="220"/>
      <c r="E43" s="220"/>
      <c r="F43" s="220"/>
      <c r="G43" s="222"/>
      <c r="H43" s="220"/>
    </row>
    <row r="44" spans="1:8" ht="12.75">
      <c r="A44" s="220"/>
      <c r="B44" s="221"/>
      <c r="C44" s="220"/>
      <c r="D44" s="220"/>
      <c r="E44" s="220"/>
      <c r="F44" s="220"/>
      <c r="G44" s="222"/>
      <c r="H44" s="220"/>
    </row>
    <row r="45" spans="1:8" ht="12.75">
      <c r="A45" s="220"/>
      <c r="B45" s="239">
        <v>311</v>
      </c>
      <c r="C45" s="238" t="s">
        <v>980</v>
      </c>
      <c r="D45" s="238"/>
      <c r="E45" s="238"/>
      <c r="F45" s="238"/>
      <c r="G45" s="240">
        <v>2.5399999999999999E-2</v>
      </c>
      <c r="H45" s="220"/>
    </row>
    <row r="46" spans="1:8" ht="12.75">
      <c r="A46" s="220"/>
      <c r="B46" s="239">
        <v>312</v>
      </c>
      <c r="C46" s="238" t="s">
        <v>981</v>
      </c>
      <c r="D46" s="238"/>
      <c r="E46" s="238"/>
      <c r="F46" s="238"/>
      <c r="G46" s="240">
        <v>3.56E-2</v>
      </c>
      <c r="H46" s="220"/>
    </row>
    <row r="47" spans="1:8" s="234" customFormat="1" ht="12.75">
      <c r="A47" s="235"/>
      <c r="B47" s="239">
        <v>312</v>
      </c>
      <c r="C47" s="238" t="s">
        <v>1139</v>
      </c>
      <c r="D47" s="238"/>
      <c r="E47" s="238"/>
      <c r="F47" s="238"/>
      <c r="G47" s="240">
        <v>7.6300000000000007E-2</v>
      </c>
      <c r="H47" s="235"/>
    </row>
    <row r="48" spans="1:8" ht="12.75">
      <c r="A48" s="220"/>
      <c r="B48" s="239">
        <v>314</v>
      </c>
      <c r="C48" s="238" t="s">
        <v>982</v>
      </c>
      <c r="D48" s="238"/>
      <c r="E48" s="238"/>
      <c r="F48" s="238"/>
      <c r="G48" s="240">
        <v>3.1199999999999999E-2</v>
      </c>
      <c r="H48" s="220"/>
    </row>
    <row r="49" spans="1:9" ht="12.75">
      <c r="A49" s="220"/>
      <c r="B49" s="239">
        <v>315</v>
      </c>
      <c r="C49" s="238" t="s">
        <v>983</v>
      </c>
      <c r="D49" s="238"/>
      <c r="E49" s="238"/>
      <c r="F49" s="238"/>
      <c r="G49" s="240">
        <v>2.1700000000000001E-2</v>
      </c>
      <c r="H49" s="220"/>
    </row>
    <row r="50" spans="1:9" ht="12.75">
      <c r="A50" s="220"/>
      <c r="B50" s="239">
        <v>316</v>
      </c>
      <c r="C50" s="238" t="s">
        <v>984</v>
      </c>
      <c r="D50" s="238"/>
      <c r="E50" s="238"/>
      <c r="F50" s="238"/>
      <c r="G50" s="240">
        <v>2.6800000000000001E-2</v>
      </c>
      <c r="H50" s="220"/>
    </row>
    <row r="51" spans="1:9" ht="12.75">
      <c r="A51" s="220"/>
      <c r="B51" s="221"/>
      <c r="C51" s="220"/>
      <c r="D51" s="220"/>
      <c r="E51" s="220"/>
      <c r="F51" s="220"/>
      <c r="G51" s="222"/>
      <c r="H51" s="220"/>
      <c r="I51" s="41" t="s">
        <v>975</v>
      </c>
    </row>
    <row r="52" spans="1:9" ht="12.75">
      <c r="A52" s="220"/>
      <c r="B52" s="221"/>
      <c r="C52" s="330" t="s">
        <v>815</v>
      </c>
      <c r="D52" s="338"/>
      <c r="E52" s="338"/>
      <c r="F52" s="338"/>
      <c r="G52" s="338"/>
      <c r="H52" s="220"/>
      <c r="I52" s="24" t="s">
        <v>976</v>
      </c>
    </row>
    <row r="53" spans="1:9" ht="12.75">
      <c r="A53" s="220"/>
      <c r="B53" s="221"/>
      <c r="C53" s="339" t="s">
        <v>811</v>
      </c>
      <c r="D53" s="339"/>
      <c r="E53" s="339"/>
      <c r="F53" s="339"/>
      <c r="G53" s="339"/>
      <c r="H53" s="220"/>
      <c r="I53" s="24" t="s">
        <v>1032</v>
      </c>
    </row>
    <row r="54" spans="1:9" ht="12.75">
      <c r="A54" s="220"/>
      <c r="B54" s="221"/>
      <c r="C54" s="19" t="s">
        <v>272</v>
      </c>
      <c r="D54" s="19" t="s">
        <v>1031</v>
      </c>
      <c r="E54" s="19"/>
      <c r="F54" s="19"/>
      <c r="G54" s="19"/>
      <c r="H54" s="220"/>
      <c r="I54" s="24"/>
    </row>
    <row r="55" spans="1:9" ht="12.75">
      <c r="A55" s="220"/>
      <c r="B55" s="221"/>
      <c r="C55" s="337" t="str">
        <f>+C5</f>
        <v>12 Months Ending 12/31/2015 (actuals)</v>
      </c>
      <c r="D55" s="338"/>
      <c r="E55" s="338"/>
      <c r="F55" s="338"/>
      <c r="G55" s="338"/>
      <c r="H55" s="220"/>
      <c r="I55" s="24"/>
    </row>
    <row r="56" spans="1:9" ht="12.75">
      <c r="A56" s="220"/>
      <c r="B56" s="221"/>
      <c r="C56" s="220"/>
      <c r="D56" s="220"/>
      <c r="E56" s="220"/>
      <c r="F56" s="220"/>
      <c r="G56" s="222"/>
      <c r="H56" s="220"/>
      <c r="I56" s="24"/>
    </row>
    <row r="57" spans="1:9" ht="12.75">
      <c r="A57" s="220"/>
      <c r="B57" s="221"/>
      <c r="C57" s="220"/>
      <c r="D57" s="220"/>
      <c r="E57" s="220"/>
      <c r="F57" s="220"/>
      <c r="G57" s="222"/>
      <c r="H57" s="220"/>
    </row>
    <row r="58" spans="1:9" ht="12.75">
      <c r="A58" s="220" t="s">
        <v>988</v>
      </c>
      <c r="B58" s="221"/>
      <c r="C58" s="220"/>
      <c r="D58" s="220"/>
      <c r="E58" s="220"/>
      <c r="F58" s="220"/>
      <c r="G58" s="222"/>
      <c r="H58" s="220"/>
    </row>
    <row r="59" spans="1:9" ht="12.75">
      <c r="A59" s="220"/>
      <c r="B59" s="221"/>
      <c r="C59" s="220"/>
      <c r="D59" s="220"/>
      <c r="E59" s="220"/>
      <c r="F59" s="220"/>
      <c r="G59" s="222"/>
      <c r="H59" s="220"/>
    </row>
    <row r="60" spans="1:9" ht="12.75">
      <c r="A60" s="220"/>
      <c r="B60" s="221">
        <v>311</v>
      </c>
      <c r="C60" s="220" t="s">
        <v>980</v>
      </c>
      <c r="D60" s="220"/>
      <c r="E60" s="220"/>
      <c r="F60" s="220"/>
      <c r="G60" s="241" t="s">
        <v>1140</v>
      </c>
      <c r="H60" s="220"/>
    </row>
    <row r="61" spans="1:9" ht="12.75">
      <c r="A61" s="220"/>
      <c r="B61" s="221">
        <v>312</v>
      </c>
      <c r="C61" s="220" t="s">
        <v>981</v>
      </c>
      <c r="D61" s="220"/>
      <c r="E61" s="220"/>
      <c r="F61" s="220"/>
      <c r="G61" s="241" t="s">
        <v>1140</v>
      </c>
      <c r="H61" s="220"/>
    </row>
    <row r="62" spans="1:9" ht="12.75">
      <c r="A62" s="220"/>
      <c r="B62" s="221">
        <v>314</v>
      </c>
      <c r="C62" s="220" t="s">
        <v>982</v>
      </c>
      <c r="D62" s="220"/>
      <c r="E62" s="220"/>
      <c r="F62" s="220"/>
      <c r="G62" s="241" t="s">
        <v>1140</v>
      </c>
      <c r="H62" s="220"/>
    </row>
    <row r="63" spans="1:9" ht="12.75">
      <c r="A63" s="220"/>
      <c r="B63" s="221">
        <v>315</v>
      </c>
      <c r="C63" s="220" t="s">
        <v>983</v>
      </c>
      <c r="D63" s="220"/>
      <c r="E63" s="220"/>
      <c r="F63" s="220"/>
      <c r="G63" s="241" t="s">
        <v>1140</v>
      </c>
      <c r="H63" s="220"/>
    </row>
    <row r="64" spans="1:9" ht="12.75">
      <c r="A64" s="220"/>
      <c r="B64" s="221">
        <v>316</v>
      </c>
      <c r="C64" s="220" t="s">
        <v>984</v>
      </c>
      <c r="D64" s="220"/>
      <c r="E64" s="220"/>
      <c r="F64" s="220"/>
      <c r="G64" s="241" t="s">
        <v>1140</v>
      </c>
      <c r="H64" s="220"/>
    </row>
    <row r="65" spans="1:8" ht="12.75">
      <c r="A65" s="220"/>
      <c r="B65" s="221"/>
      <c r="C65" s="220"/>
      <c r="D65" s="220"/>
      <c r="E65" s="220"/>
      <c r="F65" s="220"/>
      <c r="G65" s="222"/>
      <c r="H65" s="220"/>
    </row>
    <row r="66" spans="1:8" ht="12.75">
      <c r="A66" s="220"/>
      <c r="B66" s="221"/>
      <c r="C66" s="220"/>
      <c r="D66" s="220"/>
      <c r="E66" s="220"/>
      <c r="F66" s="220"/>
      <c r="G66" s="222"/>
      <c r="H66" s="220"/>
    </row>
    <row r="67" spans="1:8" ht="12.75">
      <c r="A67" s="220" t="s">
        <v>989</v>
      </c>
      <c r="B67" s="221"/>
      <c r="C67" s="220"/>
      <c r="D67" s="220"/>
      <c r="E67" s="220"/>
      <c r="F67" s="220"/>
      <c r="G67" s="222"/>
      <c r="H67" s="220"/>
    </row>
    <row r="68" spans="1:8" ht="12.75">
      <c r="A68" s="220"/>
      <c r="B68" s="221"/>
      <c r="C68" s="220"/>
      <c r="D68" s="220"/>
      <c r="E68" s="220"/>
      <c r="F68" s="220"/>
      <c r="G68" s="222"/>
      <c r="H68" s="220"/>
    </row>
    <row r="69" spans="1:8" ht="12.75">
      <c r="A69" s="220"/>
      <c r="B69" s="221">
        <v>311</v>
      </c>
      <c r="C69" s="220" t="s">
        <v>980</v>
      </c>
      <c r="D69" s="220"/>
      <c r="E69" s="220"/>
      <c r="F69" s="220"/>
      <c r="G69" s="242">
        <v>3.8600000000000002E-2</v>
      </c>
      <c r="H69" s="220"/>
    </row>
    <row r="70" spans="1:8" ht="12.75">
      <c r="A70" s="220"/>
      <c r="B70" s="221">
        <v>312</v>
      </c>
      <c r="C70" s="220" t="s">
        <v>981</v>
      </c>
      <c r="D70" s="220"/>
      <c r="E70" s="220"/>
      <c r="F70" s="220"/>
      <c r="G70" s="242">
        <v>4.7300000000000002E-2</v>
      </c>
      <c r="H70" s="220"/>
    </row>
    <row r="71" spans="1:8" ht="12.75">
      <c r="A71" s="220"/>
      <c r="B71" s="221">
        <v>314</v>
      </c>
      <c r="C71" s="220" t="s">
        <v>982</v>
      </c>
      <c r="D71" s="220"/>
      <c r="E71" s="220"/>
      <c r="F71" s="220"/>
      <c r="G71" s="242">
        <v>3.6799999999999999E-2</v>
      </c>
      <c r="H71" s="220"/>
    </row>
    <row r="72" spans="1:8" ht="12.75">
      <c r="A72" s="220"/>
      <c r="B72" s="221">
        <v>315</v>
      </c>
      <c r="C72" s="220" t="s">
        <v>983</v>
      </c>
      <c r="D72" s="220"/>
      <c r="E72" s="220"/>
      <c r="F72" s="220"/>
      <c r="G72" s="242">
        <v>4.3700000000000003E-2</v>
      </c>
      <c r="H72" s="220"/>
    </row>
    <row r="73" spans="1:8" ht="12.75">
      <c r="A73" s="220"/>
      <c r="B73" s="221">
        <v>316</v>
      </c>
      <c r="C73" s="220" t="s">
        <v>984</v>
      </c>
      <c r="D73" s="220"/>
      <c r="E73" s="220"/>
      <c r="F73" s="220"/>
      <c r="G73" s="242">
        <v>7.1099999999999997E-2</v>
      </c>
      <c r="H73" s="220"/>
    </row>
    <row r="74" spans="1:8" ht="12.75">
      <c r="A74" s="220"/>
      <c r="B74" s="221"/>
      <c r="C74" s="220"/>
      <c r="D74" s="220"/>
      <c r="E74" s="220"/>
      <c r="F74" s="220"/>
      <c r="G74" s="222"/>
      <c r="H74" s="220"/>
    </row>
    <row r="75" spans="1:8" ht="12.75">
      <c r="A75" s="220"/>
      <c r="B75" s="221"/>
      <c r="C75" s="220"/>
      <c r="D75" s="220"/>
      <c r="E75" s="220"/>
      <c r="F75" s="220"/>
      <c r="G75" s="222"/>
      <c r="H75" s="220"/>
    </row>
    <row r="76" spans="1:8" ht="12.75">
      <c r="A76" s="220" t="s">
        <v>990</v>
      </c>
      <c r="B76" s="221"/>
      <c r="C76" s="220"/>
      <c r="D76" s="220"/>
      <c r="E76" s="220"/>
      <c r="F76" s="220"/>
      <c r="G76" s="222"/>
      <c r="H76" s="220"/>
    </row>
    <row r="77" spans="1:8" ht="12.75">
      <c r="A77" s="220"/>
      <c r="B77" s="221"/>
      <c r="C77" s="220"/>
      <c r="D77" s="220"/>
      <c r="E77" s="220"/>
      <c r="F77" s="220"/>
      <c r="G77" s="222"/>
      <c r="H77" s="220"/>
    </row>
    <row r="78" spans="1:8" ht="12.75">
      <c r="A78" s="220"/>
      <c r="B78" s="221">
        <v>311</v>
      </c>
      <c r="C78" s="220" t="s">
        <v>980</v>
      </c>
      <c r="D78" s="220"/>
      <c r="E78" s="220"/>
      <c r="F78" s="220"/>
      <c r="G78" s="243" t="s">
        <v>1140</v>
      </c>
      <c r="H78" s="220"/>
    </row>
    <row r="79" spans="1:8" ht="12.75">
      <c r="A79" s="220"/>
      <c r="B79" s="221">
        <v>312</v>
      </c>
      <c r="C79" s="220" t="s">
        <v>981</v>
      </c>
      <c r="D79" s="220"/>
      <c r="E79" s="220"/>
      <c r="F79" s="220"/>
      <c r="G79" s="243" t="s">
        <v>1140</v>
      </c>
      <c r="H79" s="220"/>
    </row>
    <row r="80" spans="1:8" ht="12.75">
      <c r="A80" s="220"/>
      <c r="B80" s="221">
        <v>314</v>
      </c>
      <c r="C80" s="220" t="s">
        <v>982</v>
      </c>
      <c r="D80" s="220"/>
      <c r="E80" s="220"/>
      <c r="F80" s="220"/>
      <c r="G80" s="243" t="s">
        <v>1140</v>
      </c>
      <c r="H80" s="220"/>
    </row>
    <row r="81" spans="1:8" ht="12.75">
      <c r="A81" s="220"/>
      <c r="B81" s="221">
        <v>315</v>
      </c>
      <c r="C81" s="220" t="s">
        <v>983</v>
      </c>
      <c r="D81" s="220"/>
      <c r="E81" s="220"/>
      <c r="F81" s="220"/>
      <c r="G81" s="243" t="s">
        <v>1140</v>
      </c>
      <c r="H81" s="220"/>
    </row>
    <row r="82" spans="1:8" ht="12.75">
      <c r="A82" s="220"/>
      <c r="B82" s="221">
        <v>316</v>
      </c>
      <c r="C82" s="220" t="s">
        <v>984</v>
      </c>
      <c r="D82" s="220"/>
      <c r="E82" s="220"/>
      <c r="F82" s="220"/>
      <c r="G82" s="243" t="s">
        <v>1140</v>
      </c>
      <c r="H82" s="220"/>
    </row>
    <row r="83" spans="1:8" ht="12.75">
      <c r="A83" s="220"/>
      <c r="B83" s="221"/>
      <c r="C83" s="220"/>
      <c r="D83" s="220"/>
      <c r="E83" s="220"/>
      <c r="F83" s="220"/>
      <c r="G83" s="222"/>
      <c r="H83" s="220"/>
    </row>
    <row r="84" spans="1:8" ht="12.75">
      <c r="A84" s="220"/>
      <c r="B84" s="221"/>
      <c r="C84" s="220"/>
      <c r="D84" s="220"/>
      <c r="E84" s="220"/>
      <c r="F84" s="220"/>
      <c r="G84" s="222"/>
      <c r="H84" s="220"/>
    </row>
    <row r="85" spans="1:8" ht="12.75">
      <c r="A85" s="220" t="s">
        <v>991</v>
      </c>
      <c r="B85" s="221"/>
      <c r="C85" s="220"/>
      <c r="D85" s="220"/>
      <c r="E85" s="220"/>
      <c r="F85" s="220"/>
      <c r="G85" s="222"/>
      <c r="H85" s="220"/>
    </row>
    <row r="86" spans="1:8" ht="12.75">
      <c r="A86" s="220" t="s">
        <v>992</v>
      </c>
      <c r="B86" s="221"/>
      <c r="C86" s="220"/>
      <c r="D86" s="220"/>
      <c r="E86" s="220"/>
      <c r="F86" s="220"/>
      <c r="G86" s="222"/>
      <c r="H86" s="220"/>
    </row>
    <row r="87" spans="1:8" ht="12.75">
      <c r="A87" s="220"/>
      <c r="B87" s="221">
        <v>311</v>
      </c>
      <c r="C87" s="220" t="s">
        <v>980</v>
      </c>
      <c r="D87" s="220"/>
      <c r="E87" s="220"/>
      <c r="F87" s="220"/>
      <c r="G87" s="244" t="s">
        <v>1140</v>
      </c>
      <c r="H87" s="220"/>
    </row>
    <row r="88" spans="1:8" ht="12.75">
      <c r="A88" s="220"/>
      <c r="B88" s="221">
        <v>312</v>
      </c>
      <c r="C88" s="220" t="s">
        <v>981</v>
      </c>
      <c r="D88" s="220"/>
      <c r="E88" s="220"/>
      <c r="F88" s="220"/>
      <c r="G88" s="244" t="s">
        <v>1140</v>
      </c>
      <c r="H88" s="220"/>
    </row>
    <row r="89" spans="1:8" ht="12.75">
      <c r="A89" s="220"/>
      <c r="B89" s="221">
        <v>314</v>
      </c>
      <c r="C89" s="220" t="s">
        <v>982</v>
      </c>
      <c r="D89" s="220"/>
      <c r="E89" s="220"/>
      <c r="F89" s="220"/>
      <c r="G89" s="244" t="s">
        <v>1140</v>
      </c>
      <c r="H89" s="220"/>
    </row>
    <row r="90" spans="1:8" ht="12.75">
      <c r="A90" s="220"/>
      <c r="B90" s="221">
        <v>315</v>
      </c>
      <c r="C90" s="220" t="s">
        <v>983</v>
      </c>
      <c r="D90" s="220"/>
      <c r="E90" s="220"/>
      <c r="F90" s="220"/>
      <c r="G90" s="244" t="s">
        <v>1140</v>
      </c>
      <c r="H90" s="220"/>
    </row>
    <row r="91" spans="1:8" ht="12.75">
      <c r="A91" s="220"/>
      <c r="B91" s="221">
        <v>316</v>
      </c>
      <c r="C91" s="220" t="s">
        <v>984</v>
      </c>
      <c r="D91" s="220"/>
      <c r="E91" s="220"/>
      <c r="F91" s="220"/>
      <c r="G91" s="244" t="s">
        <v>1140</v>
      </c>
      <c r="H91" s="220"/>
    </row>
    <row r="92" spans="1:8" ht="12.75">
      <c r="A92" s="220"/>
      <c r="B92" s="221"/>
      <c r="C92" s="220"/>
      <c r="D92" s="220"/>
      <c r="E92" s="220"/>
      <c r="F92" s="220"/>
      <c r="G92" s="222"/>
      <c r="H92" s="220"/>
    </row>
    <row r="93" spans="1:8" ht="12.75">
      <c r="A93" s="220"/>
      <c r="B93" s="221"/>
      <c r="C93" s="220"/>
      <c r="D93" s="220"/>
      <c r="E93" s="220"/>
      <c r="F93" s="220"/>
      <c r="G93" s="222"/>
      <c r="H93" s="220"/>
    </row>
    <row r="94" spans="1:8" ht="12.75">
      <c r="A94" s="220" t="s">
        <v>993</v>
      </c>
      <c r="B94" s="221"/>
      <c r="C94" s="220"/>
      <c r="D94" s="220"/>
      <c r="E94" s="220"/>
      <c r="F94" s="220"/>
      <c r="G94" s="222"/>
      <c r="H94" s="220"/>
    </row>
    <row r="95" spans="1:8" ht="12.75">
      <c r="A95" s="220" t="s">
        <v>272</v>
      </c>
      <c r="B95" s="221"/>
      <c r="C95" s="220"/>
      <c r="D95" s="220"/>
      <c r="E95" s="220"/>
      <c r="F95" s="220"/>
      <c r="G95" s="222"/>
      <c r="H95" s="220"/>
    </row>
    <row r="96" spans="1:8" ht="12.75">
      <c r="A96" s="220"/>
      <c r="B96" s="221">
        <v>311</v>
      </c>
      <c r="C96" s="220" t="s">
        <v>980</v>
      </c>
      <c r="D96" s="220"/>
      <c r="E96" s="220"/>
      <c r="F96" s="220"/>
      <c r="G96" s="244" t="s">
        <v>1140</v>
      </c>
      <c r="H96" s="220"/>
    </row>
    <row r="97" spans="1:9" ht="12.75">
      <c r="A97" s="220"/>
      <c r="B97" s="221">
        <v>312</v>
      </c>
      <c r="C97" s="220" t="s">
        <v>981</v>
      </c>
      <c r="D97" s="220"/>
      <c r="E97" s="220"/>
      <c r="F97" s="220"/>
      <c r="G97" s="244" t="s">
        <v>1140</v>
      </c>
      <c r="H97" s="220"/>
    </row>
    <row r="98" spans="1:9" ht="12.75">
      <c r="A98" s="220"/>
      <c r="B98" s="221">
        <v>315</v>
      </c>
      <c r="C98" s="220" t="s">
        <v>983</v>
      </c>
      <c r="D98" s="220"/>
      <c r="E98" s="220"/>
      <c r="F98" s="220"/>
      <c r="G98" s="244" t="s">
        <v>1140</v>
      </c>
      <c r="H98" s="220"/>
    </row>
    <row r="99" spans="1:9" ht="12.75">
      <c r="A99" s="220"/>
      <c r="B99" s="221">
        <v>316</v>
      </c>
      <c r="C99" s="220" t="s">
        <v>984</v>
      </c>
      <c r="D99" s="220"/>
      <c r="E99" s="220"/>
      <c r="F99" s="220"/>
      <c r="G99" s="244" t="s">
        <v>1140</v>
      </c>
      <c r="H99" s="220"/>
    </row>
    <row r="100" spans="1:9" ht="12.75">
      <c r="A100" s="220"/>
      <c r="B100" s="221"/>
      <c r="C100" s="220"/>
      <c r="D100" s="220"/>
      <c r="E100" s="220"/>
      <c r="F100" s="220"/>
      <c r="G100" s="222"/>
      <c r="H100" s="220"/>
    </row>
    <row r="101" spans="1:9" ht="12.75">
      <c r="A101" s="220"/>
      <c r="B101" s="221"/>
      <c r="C101" s="220"/>
      <c r="D101" s="220"/>
      <c r="E101" s="220"/>
      <c r="F101" s="220"/>
      <c r="G101" s="222"/>
      <c r="H101" s="220"/>
      <c r="I101" s="41" t="s">
        <v>975</v>
      </c>
    </row>
    <row r="102" spans="1:9" ht="12.75">
      <c r="A102" s="220"/>
      <c r="B102" s="221"/>
      <c r="C102" s="330" t="s">
        <v>815</v>
      </c>
      <c r="D102" s="338"/>
      <c r="E102" s="338"/>
      <c r="F102" s="338"/>
      <c r="G102" s="338"/>
      <c r="H102" s="220"/>
      <c r="I102" s="24" t="s">
        <v>976</v>
      </c>
    </row>
    <row r="103" spans="1:9" ht="12.75">
      <c r="A103" s="220"/>
      <c r="B103" s="221"/>
      <c r="C103" s="339" t="s">
        <v>811</v>
      </c>
      <c r="D103" s="339"/>
      <c r="E103" s="339"/>
      <c r="F103" s="339"/>
      <c r="G103" s="339"/>
      <c r="H103" s="220"/>
      <c r="I103" s="24" t="s">
        <v>1033</v>
      </c>
    </row>
    <row r="104" spans="1:9" ht="12.75">
      <c r="A104" s="220"/>
      <c r="B104" s="221"/>
      <c r="C104" s="19" t="s">
        <v>272</v>
      </c>
      <c r="D104" s="19" t="s">
        <v>1031</v>
      </c>
      <c r="E104" s="19"/>
      <c r="F104" s="19"/>
      <c r="G104" s="19"/>
      <c r="H104" s="220"/>
      <c r="I104" s="24"/>
    </row>
    <row r="105" spans="1:9" ht="12.75">
      <c r="A105" s="220"/>
      <c r="B105" s="221"/>
      <c r="C105" s="337" t="str">
        <f>+C5</f>
        <v>12 Months Ending 12/31/2015 (actuals)</v>
      </c>
      <c r="D105" s="338"/>
      <c r="E105" s="338"/>
      <c r="F105" s="338"/>
      <c r="G105" s="338"/>
      <c r="H105" s="220"/>
      <c r="I105" s="24"/>
    </row>
    <row r="106" spans="1:9" ht="12.75">
      <c r="A106" s="220"/>
      <c r="B106" s="221"/>
      <c r="C106" s="220"/>
      <c r="D106" s="220"/>
      <c r="E106" s="220"/>
      <c r="F106" s="220"/>
      <c r="G106" s="222"/>
      <c r="H106" s="220"/>
      <c r="I106" s="24"/>
    </row>
    <row r="107" spans="1:9" ht="12.75">
      <c r="A107" s="220"/>
      <c r="B107" s="221"/>
      <c r="C107" s="220"/>
      <c r="D107" s="220"/>
      <c r="E107" s="220"/>
      <c r="F107" s="220"/>
      <c r="G107" s="220"/>
      <c r="H107" s="220"/>
    </row>
    <row r="108" spans="1:9" ht="12.75">
      <c r="A108" s="220" t="s">
        <v>994</v>
      </c>
      <c r="B108" s="221"/>
      <c r="C108" s="220"/>
      <c r="D108" s="220"/>
      <c r="E108" s="220"/>
      <c r="F108" s="220"/>
      <c r="G108" s="220"/>
      <c r="H108" s="220"/>
    </row>
    <row r="109" spans="1:9" ht="12.75">
      <c r="A109" s="220"/>
      <c r="B109" s="221"/>
      <c r="C109" s="220"/>
      <c r="D109" s="220"/>
      <c r="E109" s="220"/>
      <c r="F109" s="220"/>
      <c r="G109" s="220"/>
      <c r="H109" s="220"/>
    </row>
    <row r="110" spans="1:9" ht="12.75">
      <c r="A110" s="220" t="s">
        <v>272</v>
      </c>
      <c r="B110" s="221">
        <v>316</v>
      </c>
      <c r="C110" s="220" t="s">
        <v>984</v>
      </c>
      <c r="D110" s="220"/>
      <c r="E110" s="220"/>
      <c r="F110" s="220"/>
      <c r="G110" s="245">
        <v>2.5100000000000001E-2</v>
      </c>
      <c r="H110" s="220"/>
    </row>
    <row r="111" spans="1:9" ht="12.75">
      <c r="A111" s="220"/>
      <c r="B111" s="221"/>
      <c r="C111" s="220"/>
      <c r="D111" s="220"/>
      <c r="E111" s="220"/>
      <c r="F111" s="220"/>
      <c r="G111" s="220"/>
      <c r="H111" s="220"/>
    </row>
    <row r="112" spans="1:9" ht="12.75">
      <c r="A112" s="220"/>
      <c r="B112" s="221"/>
      <c r="C112" s="220"/>
      <c r="D112" s="220"/>
      <c r="E112" s="220"/>
      <c r="F112" s="220"/>
      <c r="G112" s="220"/>
      <c r="H112" s="220"/>
    </row>
    <row r="113" spans="1:8" ht="12.75">
      <c r="A113" s="220" t="s">
        <v>995</v>
      </c>
      <c r="B113" s="221"/>
      <c r="C113" s="220"/>
      <c r="D113" s="220"/>
      <c r="E113" s="220"/>
      <c r="F113" s="220"/>
      <c r="G113" s="220"/>
      <c r="H113" s="220"/>
    </row>
    <row r="114" spans="1:8" ht="12.75">
      <c r="A114" s="220"/>
      <c r="B114" s="221"/>
      <c r="C114" s="220"/>
      <c r="D114" s="220"/>
      <c r="E114" s="220"/>
      <c r="F114" s="220"/>
      <c r="G114" s="220"/>
      <c r="H114" s="220"/>
    </row>
    <row r="115" spans="1:8" ht="12.75">
      <c r="A115" s="220" t="s">
        <v>272</v>
      </c>
      <c r="B115" s="221">
        <v>316</v>
      </c>
      <c r="C115" s="220" t="s">
        <v>984</v>
      </c>
      <c r="D115" s="220"/>
      <c r="E115" s="220"/>
      <c r="F115" s="220"/>
      <c r="G115" s="248">
        <v>2.7E-2</v>
      </c>
      <c r="H115" s="220"/>
    </row>
    <row r="116" spans="1:8" ht="12.75">
      <c r="A116" s="220"/>
      <c r="B116" s="221"/>
      <c r="C116" s="220"/>
      <c r="D116" s="220"/>
      <c r="E116" s="220"/>
      <c r="F116" s="220"/>
      <c r="G116" s="220"/>
      <c r="H116" s="220"/>
    </row>
    <row r="117" spans="1:8" ht="12.75">
      <c r="A117" s="220"/>
      <c r="B117" s="221"/>
      <c r="C117" s="220"/>
      <c r="D117" s="220"/>
      <c r="E117" s="220"/>
      <c r="F117" s="220"/>
      <c r="G117" s="220"/>
      <c r="H117" s="220"/>
    </row>
    <row r="118" spans="1:8" ht="12.75">
      <c r="A118" s="220" t="s">
        <v>1141</v>
      </c>
      <c r="B118" s="221"/>
      <c r="C118" s="220"/>
      <c r="D118" s="220"/>
      <c r="E118" s="220"/>
      <c r="F118" s="220"/>
      <c r="G118" s="220"/>
      <c r="H118" s="220"/>
    </row>
    <row r="119" spans="1:8" ht="12.75">
      <c r="A119" s="220"/>
      <c r="B119" s="221"/>
      <c r="C119" s="220"/>
      <c r="D119" s="220"/>
      <c r="E119" s="220"/>
      <c r="F119" s="220"/>
      <c r="G119" s="220"/>
      <c r="H119" s="220"/>
    </row>
    <row r="120" spans="1:8" ht="12.75">
      <c r="A120" s="220" t="s">
        <v>272</v>
      </c>
      <c r="B120" s="250">
        <v>311</v>
      </c>
      <c r="C120" s="249" t="s">
        <v>980</v>
      </c>
      <c r="D120" s="249"/>
      <c r="E120" s="249"/>
      <c r="F120" s="249"/>
      <c r="G120" s="251">
        <v>3.3399999999999999E-2</v>
      </c>
      <c r="H120" s="220"/>
    </row>
    <row r="121" spans="1:8" ht="12.75">
      <c r="A121" s="220"/>
      <c r="B121" s="250">
        <v>312</v>
      </c>
      <c r="C121" s="249" t="s">
        <v>981</v>
      </c>
      <c r="D121" s="249"/>
      <c r="E121" s="249"/>
      <c r="F121" s="249"/>
      <c r="G121" s="251">
        <v>3.2399999999999998E-2</v>
      </c>
      <c r="H121" s="220"/>
    </row>
    <row r="122" spans="1:8" s="246" customFormat="1" ht="12.75">
      <c r="A122" s="247"/>
      <c r="B122" s="250">
        <v>315</v>
      </c>
      <c r="C122" s="249" t="s">
        <v>983</v>
      </c>
      <c r="D122" s="249"/>
      <c r="E122" s="249"/>
      <c r="F122" s="249"/>
      <c r="G122" s="251">
        <v>3.4099999999999998E-2</v>
      </c>
      <c r="H122" s="247"/>
    </row>
    <row r="123" spans="1:8" ht="12.75">
      <c r="A123" s="220"/>
      <c r="B123" s="220"/>
      <c r="C123" s="220"/>
      <c r="D123" s="220"/>
      <c r="E123" s="220"/>
      <c r="F123" s="220"/>
      <c r="G123" s="220"/>
      <c r="H123" s="220"/>
    </row>
    <row r="124" spans="1:8" ht="12.75">
      <c r="A124" s="220"/>
      <c r="B124" s="220"/>
      <c r="C124" s="220"/>
      <c r="D124" s="220"/>
      <c r="E124" s="220"/>
      <c r="F124" s="220"/>
      <c r="G124" s="220"/>
      <c r="H124" s="220"/>
    </row>
    <row r="125" spans="1:8" ht="12.75">
      <c r="A125" s="220" t="s">
        <v>996</v>
      </c>
      <c r="B125" s="220"/>
      <c r="C125" s="220"/>
      <c r="D125" s="220"/>
      <c r="E125" s="220"/>
      <c r="F125" s="220"/>
      <c r="G125" s="220"/>
      <c r="H125" s="220"/>
    </row>
    <row r="126" spans="1:8" ht="12.75">
      <c r="A126" s="220"/>
      <c r="B126" s="220"/>
      <c r="C126" s="220"/>
      <c r="D126" s="220"/>
      <c r="E126" s="220"/>
      <c r="F126" s="220"/>
      <c r="G126" s="220"/>
      <c r="H126" s="220"/>
    </row>
    <row r="127" spans="1:8" ht="12.75">
      <c r="A127" s="220" t="s">
        <v>997</v>
      </c>
      <c r="B127" s="221">
        <v>331</v>
      </c>
      <c r="C127" s="220" t="s">
        <v>980</v>
      </c>
      <c r="D127" s="220"/>
      <c r="E127" s="220"/>
      <c r="F127" s="220"/>
      <c r="G127" s="252">
        <v>1.6500000000000001E-2</v>
      </c>
      <c r="H127" s="220"/>
    </row>
    <row r="128" spans="1:8" ht="12.75">
      <c r="A128" s="220"/>
      <c r="B128" s="221">
        <v>332</v>
      </c>
      <c r="C128" s="220" t="s">
        <v>998</v>
      </c>
      <c r="D128" s="220"/>
      <c r="E128" s="220"/>
      <c r="F128" s="220"/>
      <c r="G128" s="252">
        <v>1.0999999999999999E-2</v>
      </c>
      <c r="H128" s="220"/>
    </row>
    <row r="129" spans="1:8" ht="12.75">
      <c r="A129" s="220"/>
      <c r="B129" s="221">
        <v>333</v>
      </c>
      <c r="C129" s="220" t="s">
        <v>999</v>
      </c>
      <c r="D129" s="220"/>
      <c r="E129" s="220"/>
      <c r="F129" s="220"/>
      <c r="G129" s="252">
        <v>1.0800000000000001E-2</v>
      </c>
      <c r="H129" s="220"/>
    </row>
    <row r="130" spans="1:8" ht="12.75">
      <c r="A130" s="220"/>
      <c r="B130" s="221">
        <v>334</v>
      </c>
      <c r="C130" s="220" t="s">
        <v>1000</v>
      </c>
      <c r="D130" s="220"/>
      <c r="E130" s="220"/>
      <c r="F130" s="220"/>
      <c r="G130" s="252">
        <v>2.1600000000000001E-2</v>
      </c>
      <c r="H130" s="220"/>
    </row>
    <row r="131" spans="1:8" ht="12.75">
      <c r="A131" s="220"/>
      <c r="B131" s="221">
        <v>335</v>
      </c>
      <c r="C131" s="220" t="s">
        <v>1001</v>
      </c>
      <c r="D131" s="220"/>
      <c r="E131" s="220"/>
      <c r="F131" s="220"/>
      <c r="G131" s="252">
        <v>2.6100000000000002E-2</v>
      </c>
      <c r="H131" s="220"/>
    </row>
    <row r="132" spans="1:8" ht="12.75">
      <c r="A132" s="220"/>
      <c r="B132" s="221">
        <v>336</v>
      </c>
      <c r="C132" s="220" t="s">
        <v>1002</v>
      </c>
      <c r="D132" s="220"/>
      <c r="E132" s="220"/>
      <c r="F132" s="220"/>
      <c r="G132" s="252">
        <v>7.1000000000000004E-3</v>
      </c>
      <c r="H132" s="220"/>
    </row>
    <row r="133" spans="1:8" ht="12.75">
      <c r="A133" s="220"/>
      <c r="B133" s="220"/>
      <c r="C133" s="220"/>
      <c r="D133" s="220"/>
      <c r="E133" s="220"/>
      <c r="F133" s="220"/>
      <c r="G133" s="222"/>
      <c r="H133" s="220"/>
    </row>
    <row r="134" spans="1:8" ht="12.75">
      <c r="A134" s="220"/>
      <c r="B134" s="220"/>
      <c r="C134" s="220"/>
      <c r="D134" s="220"/>
      <c r="E134" s="220"/>
      <c r="F134" s="220"/>
      <c r="G134" s="220"/>
      <c r="H134" s="220"/>
    </row>
    <row r="135" spans="1:8" ht="12.75">
      <c r="A135" s="220" t="s">
        <v>1003</v>
      </c>
      <c r="B135" s="221">
        <v>331</v>
      </c>
      <c r="C135" s="220" t="s">
        <v>980</v>
      </c>
      <c r="D135" s="220"/>
      <c r="E135" s="220"/>
      <c r="F135" s="220"/>
      <c r="G135" s="253">
        <v>5.5399999999999998E-2</v>
      </c>
      <c r="H135" s="220"/>
    </row>
    <row r="136" spans="1:8" ht="12.75">
      <c r="A136" s="220"/>
      <c r="B136" s="221">
        <v>332</v>
      </c>
      <c r="C136" s="220" t="s">
        <v>998</v>
      </c>
      <c r="D136" s="220"/>
      <c r="E136" s="220"/>
      <c r="F136" s="220"/>
      <c r="G136" s="253">
        <v>6.8199999999999997E-2</v>
      </c>
      <c r="H136" s="220"/>
    </row>
    <row r="137" spans="1:8" ht="12.75">
      <c r="A137" s="220"/>
      <c r="B137" s="221">
        <v>333</v>
      </c>
      <c r="C137" s="220" t="s">
        <v>999</v>
      </c>
      <c r="D137" s="220"/>
      <c r="E137" s="220"/>
      <c r="F137" s="220"/>
      <c r="G137" s="253">
        <v>5.9299999999999999E-2</v>
      </c>
      <c r="H137" s="220"/>
    </row>
    <row r="138" spans="1:8" ht="12.75">
      <c r="A138" s="220"/>
      <c r="B138" s="221">
        <v>334</v>
      </c>
      <c r="C138" s="220" t="s">
        <v>1000</v>
      </c>
      <c r="D138" s="220"/>
      <c r="E138" s="220"/>
      <c r="F138" s="220"/>
      <c r="G138" s="253">
        <v>4.1399999999999999E-2</v>
      </c>
      <c r="H138" s="220"/>
    </row>
    <row r="139" spans="1:8" ht="12.75">
      <c r="A139" s="220"/>
      <c r="B139" s="221">
        <v>335</v>
      </c>
      <c r="C139" s="220" t="s">
        <v>1001</v>
      </c>
      <c r="D139" s="220"/>
      <c r="E139" s="220"/>
      <c r="F139" s="220"/>
      <c r="G139" s="253">
        <v>6.7299999999999999E-2</v>
      </c>
      <c r="H139" s="220"/>
    </row>
    <row r="140" spans="1:8" ht="12.75">
      <c r="A140" s="220"/>
      <c r="B140" s="220"/>
      <c r="C140" s="220"/>
      <c r="D140" s="220"/>
      <c r="E140" s="220"/>
      <c r="F140" s="220"/>
      <c r="G140" s="220"/>
      <c r="H140" s="220"/>
    </row>
    <row r="141" spans="1:8" ht="12.75">
      <c r="A141" s="220"/>
      <c r="B141" s="220"/>
      <c r="C141" s="220"/>
      <c r="D141" s="220"/>
      <c r="E141" s="220"/>
      <c r="F141" s="220"/>
      <c r="G141" s="220"/>
      <c r="H141" s="220"/>
    </row>
    <row r="142" spans="1:8" ht="12.75">
      <c r="A142" s="220" t="s">
        <v>1004</v>
      </c>
      <c r="B142" s="221">
        <v>331</v>
      </c>
      <c r="C142" s="220" t="s">
        <v>980</v>
      </c>
      <c r="D142" s="220"/>
      <c r="E142" s="220"/>
      <c r="F142" s="220"/>
      <c r="G142" s="254">
        <v>4.4900000000000002E-2</v>
      </c>
      <c r="H142" s="220"/>
    </row>
    <row r="143" spans="1:8" ht="12.75">
      <c r="A143" s="220"/>
      <c r="B143" s="221">
        <v>332</v>
      </c>
      <c r="C143" s="220" t="s">
        <v>998</v>
      </c>
      <c r="D143" s="220"/>
      <c r="E143" s="220"/>
      <c r="F143" s="220"/>
      <c r="G143" s="254">
        <v>4.9399999999999999E-2</v>
      </c>
      <c r="H143" s="220"/>
    </row>
    <row r="144" spans="1:8" ht="12.75">
      <c r="A144" s="220"/>
      <c r="B144" s="221">
        <v>333</v>
      </c>
      <c r="C144" s="220" t="s">
        <v>999</v>
      </c>
      <c r="D144" s="220"/>
      <c r="E144" s="220"/>
      <c r="F144" s="220"/>
      <c r="G144" s="254">
        <v>4.1000000000000002E-2</v>
      </c>
      <c r="H144" s="220"/>
    </row>
    <row r="145" spans="1:9" ht="12.75">
      <c r="A145" s="220"/>
      <c r="B145" s="221">
        <v>334</v>
      </c>
      <c r="C145" s="220" t="s">
        <v>1000</v>
      </c>
      <c r="D145" s="220"/>
      <c r="E145" s="220"/>
      <c r="F145" s="220"/>
      <c r="G145" s="254">
        <v>4.5999999999999999E-2</v>
      </c>
      <c r="H145" s="220"/>
    </row>
    <row r="146" spans="1:9" ht="12.75">
      <c r="A146" s="220"/>
      <c r="B146" s="221">
        <v>335</v>
      </c>
      <c r="C146" s="220" t="s">
        <v>1001</v>
      </c>
      <c r="D146" s="220"/>
      <c r="E146" s="220"/>
      <c r="F146" s="220"/>
      <c r="G146" s="254">
        <v>5.8400000000000001E-2</v>
      </c>
      <c r="H146" s="220"/>
    </row>
    <row r="147" spans="1:9" ht="12.75">
      <c r="A147" s="220"/>
      <c r="B147" s="221">
        <v>336</v>
      </c>
      <c r="C147" s="220" t="s">
        <v>1002</v>
      </c>
      <c r="D147" s="220"/>
      <c r="E147" s="220"/>
      <c r="F147" s="220"/>
      <c r="G147" s="254">
        <v>4.7199999999999999E-2</v>
      </c>
      <c r="H147" s="220"/>
    </row>
    <row r="148" spans="1:9" ht="12.75">
      <c r="A148" s="220"/>
      <c r="B148" s="221"/>
      <c r="C148" s="220"/>
      <c r="D148" s="220"/>
      <c r="E148" s="220"/>
      <c r="F148" s="220"/>
      <c r="G148" s="222"/>
      <c r="H148" s="220"/>
    </row>
    <row r="149" spans="1:9" ht="12.75">
      <c r="A149" s="220"/>
      <c r="B149" s="221"/>
      <c r="C149" s="220"/>
      <c r="D149" s="220"/>
      <c r="E149" s="220"/>
      <c r="F149" s="220"/>
      <c r="G149" s="222"/>
      <c r="H149" s="220"/>
      <c r="I149" s="41" t="s">
        <v>975</v>
      </c>
    </row>
    <row r="150" spans="1:9" ht="12.75">
      <c r="A150" s="220"/>
      <c r="B150" s="221"/>
      <c r="C150" s="330" t="s">
        <v>815</v>
      </c>
      <c r="D150" s="338"/>
      <c r="E150" s="338"/>
      <c r="F150" s="338"/>
      <c r="G150" s="338"/>
      <c r="H150" s="220"/>
      <c r="I150" s="24" t="s">
        <v>976</v>
      </c>
    </row>
    <row r="151" spans="1:9" ht="12.75">
      <c r="A151" s="220"/>
      <c r="B151" s="221"/>
      <c r="C151" s="339" t="s">
        <v>811</v>
      </c>
      <c r="D151" s="339"/>
      <c r="E151" s="339"/>
      <c r="F151" s="339"/>
      <c r="G151" s="339"/>
      <c r="H151" s="220"/>
      <c r="I151" s="24" t="s">
        <v>1034</v>
      </c>
    </row>
    <row r="152" spans="1:9" ht="12.75">
      <c r="A152" s="220"/>
      <c r="B152" s="221"/>
      <c r="C152" s="19" t="s">
        <v>272</v>
      </c>
      <c r="D152" s="19" t="s">
        <v>1031</v>
      </c>
      <c r="E152" s="19"/>
      <c r="F152" s="19"/>
      <c r="G152" s="19"/>
      <c r="H152" s="220"/>
      <c r="I152" s="24"/>
    </row>
    <row r="153" spans="1:9" ht="12.75">
      <c r="A153" s="220"/>
      <c r="B153" s="221"/>
      <c r="C153" s="337" t="str">
        <f>+C5</f>
        <v>12 Months Ending 12/31/2015 (actuals)</v>
      </c>
      <c r="D153" s="338"/>
      <c r="E153" s="338"/>
      <c r="F153" s="338"/>
      <c r="G153" s="338"/>
      <c r="H153" s="220"/>
      <c r="I153" s="24"/>
    </row>
    <row r="154" spans="1:9" ht="12.75">
      <c r="A154" s="220"/>
      <c r="B154" s="221"/>
      <c r="C154" s="220"/>
      <c r="D154" s="220"/>
      <c r="E154" s="220"/>
      <c r="F154" s="220"/>
      <c r="G154" s="222"/>
      <c r="H154" s="220"/>
      <c r="I154" s="24"/>
    </row>
    <row r="155" spans="1:9" ht="12.75">
      <c r="A155" s="220"/>
      <c r="B155" s="221"/>
      <c r="C155" s="220"/>
      <c r="D155" s="220"/>
      <c r="E155" s="220"/>
      <c r="F155" s="220"/>
      <c r="G155" s="222"/>
      <c r="H155" s="220"/>
    </row>
    <row r="156" spans="1:9" ht="12.75">
      <c r="A156" s="220" t="s">
        <v>1005</v>
      </c>
      <c r="B156" s="221">
        <v>331</v>
      </c>
      <c r="C156" s="220" t="s">
        <v>980</v>
      </c>
      <c r="D156" s="220"/>
      <c r="E156" s="220"/>
      <c r="F156" s="220"/>
      <c r="G156" s="255">
        <v>2.58E-2</v>
      </c>
      <c r="H156" s="220"/>
    </row>
    <row r="157" spans="1:9" ht="12.75">
      <c r="A157" s="220"/>
      <c r="B157" s="221">
        <v>332</v>
      </c>
      <c r="C157" s="220" t="s">
        <v>998</v>
      </c>
      <c r="D157" s="220"/>
      <c r="E157" s="220"/>
      <c r="F157" s="220"/>
      <c r="G157" s="255">
        <v>5.0900000000000001E-2</v>
      </c>
      <c r="H157" s="220"/>
    </row>
    <row r="158" spans="1:9" ht="12.75">
      <c r="A158" s="220"/>
      <c r="B158" s="221">
        <v>333</v>
      </c>
      <c r="C158" s="220" t="s">
        <v>999</v>
      </c>
      <c r="D158" s="220"/>
      <c r="E158" s="220"/>
      <c r="F158" s="220"/>
      <c r="G158" s="255">
        <v>0.04</v>
      </c>
      <c r="H158" s="220"/>
    </row>
    <row r="159" spans="1:9" ht="12.75">
      <c r="A159" s="220"/>
      <c r="B159" s="221">
        <v>334</v>
      </c>
      <c r="C159" s="220" t="s">
        <v>1000</v>
      </c>
      <c r="D159" s="220"/>
      <c r="E159" s="220"/>
      <c r="F159" s="220"/>
      <c r="G159" s="255">
        <v>4.8899999999999999E-2</v>
      </c>
      <c r="H159" s="220"/>
    </row>
    <row r="160" spans="1:9" ht="12.75">
      <c r="A160" s="220"/>
      <c r="B160" s="221">
        <v>335</v>
      </c>
      <c r="C160" s="220" t="s">
        <v>1001</v>
      </c>
      <c r="D160" s="220"/>
      <c r="E160" s="220"/>
      <c r="F160" s="220"/>
      <c r="G160" s="255">
        <v>4.8300000000000003E-2</v>
      </c>
      <c r="H160" s="220"/>
    </row>
    <row r="161" spans="1:8" ht="12.75">
      <c r="A161" s="220"/>
      <c r="B161" s="220"/>
      <c r="C161" s="220"/>
      <c r="D161" s="220"/>
      <c r="E161" s="220"/>
      <c r="F161" s="220"/>
      <c r="G161" s="220"/>
      <c r="H161" s="220"/>
    </row>
    <row r="162" spans="1:8" ht="12.75">
      <c r="A162" s="220"/>
      <c r="B162" s="220"/>
      <c r="C162" s="220"/>
      <c r="D162" s="220"/>
      <c r="E162" s="220"/>
      <c r="F162" s="220"/>
      <c r="G162" s="220"/>
      <c r="H162" s="220"/>
    </row>
    <row r="163" spans="1:8" ht="12.75">
      <c r="A163" s="220" t="s">
        <v>1006</v>
      </c>
      <c r="B163" s="221">
        <v>331</v>
      </c>
      <c r="C163" s="220" t="s">
        <v>980</v>
      </c>
      <c r="D163" s="220"/>
      <c r="E163" s="220"/>
      <c r="F163" s="220"/>
      <c r="G163" s="256">
        <v>5.6599999999999998E-2</v>
      </c>
      <c r="H163" s="220"/>
    </row>
    <row r="164" spans="1:8" ht="12.75">
      <c r="A164" s="220"/>
      <c r="B164" s="221">
        <v>332</v>
      </c>
      <c r="C164" s="220" t="s">
        <v>998</v>
      </c>
      <c r="D164" s="220"/>
      <c r="E164" s="220"/>
      <c r="F164" s="220"/>
      <c r="G164" s="256">
        <v>5.7700000000000001E-2</v>
      </c>
      <c r="H164" s="220"/>
    </row>
    <row r="165" spans="1:8" ht="12.75">
      <c r="A165" s="220"/>
      <c r="B165" s="221">
        <v>333</v>
      </c>
      <c r="C165" s="220" t="s">
        <v>999</v>
      </c>
      <c r="D165" s="220"/>
      <c r="E165" s="220"/>
      <c r="F165" s="220"/>
      <c r="G165" s="256">
        <v>6.0400000000000002E-2</v>
      </c>
      <c r="H165" s="220"/>
    </row>
    <row r="166" spans="1:8" ht="12.75">
      <c r="A166" s="220"/>
      <c r="B166" s="221">
        <v>334</v>
      </c>
      <c r="C166" s="220" t="s">
        <v>1000</v>
      </c>
      <c r="D166" s="220"/>
      <c r="E166" s="220"/>
      <c r="F166" s="220"/>
      <c r="G166" s="256">
        <v>5.04E-2</v>
      </c>
      <c r="H166" s="220"/>
    </row>
    <row r="167" spans="1:8" ht="12.75">
      <c r="A167" s="220"/>
      <c r="B167" s="221">
        <v>335</v>
      </c>
      <c r="C167" s="220" t="s">
        <v>1001</v>
      </c>
      <c r="D167" s="220"/>
      <c r="E167" s="220"/>
      <c r="F167" s="220"/>
      <c r="G167" s="256">
        <v>6.6100000000000006E-2</v>
      </c>
      <c r="H167" s="220"/>
    </row>
    <row r="168" spans="1:8" ht="12.75">
      <c r="A168" s="220"/>
      <c r="B168" s="220"/>
      <c r="C168" s="220"/>
      <c r="D168" s="220"/>
      <c r="E168" s="220"/>
      <c r="F168" s="220"/>
      <c r="G168" s="220"/>
      <c r="H168" s="220"/>
    </row>
    <row r="169" spans="1:8" ht="12.75">
      <c r="A169" s="220"/>
      <c r="B169" s="220"/>
      <c r="C169" s="220"/>
      <c r="D169" s="220"/>
      <c r="E169" s="220"/>
      <c r="F169" s="220"/>
      <c r="G169" s="220"/>
      <c r="H169" s="220"/>
    </row>
    <row r="170" spans="1:8" ht="12.75">
      <c r="A170" s="220" t="s">
        <v>1007</v>
      </c>
      <c r="B170" s="221">
        <v>331</v>
      </c>
      <c r="C170" s="220" t="s">
        <v>980</v>
      </c>
      <c r="D170" s="220"/>
      <c r="E170" s="220"/>
      <c r="F170" s="220"/>
      <c r="G170" s="257">
        <v>1.04E-2</v>
      </c>
      <c r="H170" s="220"/>
    </row>
    <row r="171" spans="1:8" ht="12.75">
      <c r="A171" s="220"/>
      <c r="B171" s="221">
        <v>332</v>
      </c>
      <c r="C171" s="220" t="s">
        <v>998</v>
      </c>
      <c r="D171" s="220"/>
      <c r="E171" s="220"/>
      <c r="F171" s="220"/>
      <c r="G171" s="257">
        <v>1.66E-2</v>
      </c>
      <c r="H171" s="220"/>
    </row>
    <row r="172" spans="1:8" ht="12.75">
      <c r="A172" s="220"/>
      <c r="B172" s="221">
        <v>333</v>
      </c>
      <c r="C172" s="220" t="s">
        <v>999</v>
      </c>
      <c r="D172" s="220"/>
      <c r="E172" s="220"/>
      <c r="F172" s="220"/>
      <c r="G172" s="257">
        <v>1.3299999999999999E-2</v>
      </c>
      <c r="H172" s="220"/>
    </row>
    <row r="173" spans="1:8" ht="12.75">
      <c r="A173" s="220"/>
      <c r="B173" s="221">
        <v>334</v>
      </c>
      <c r="C173" s="220" t="s">
        <v>1000</v>
      </c>
      <c r="D173" s="220"/>
      <c r="E173" s="220"/>
      <c r="F173" s="220"/>
      <c r="G173" s="257">
        <v>2.0899999999999998E-2</v>
      </c>
      <c r="H173" s="220"/>
    </row>
    <row r="174" spans="1:8" ht="12.75">
      <c r="A174" s="220"/>
      <c r="B174" s="221">
        <v>335</v>
      </c>
      <c r="C174" s="220" t="s">
        <v>1001</v>
      </c>
      <c r="D174" s="220"/>
      <c r="E174" s="220"/>
      <c r="F174" s="220"/>
      <c r="G174" s="257">
        <v>2.12E-2</v>
      </c>
      <c r="H174" s="220"/>
    </row>
    <row r="175" spans="1:8" ht="12.75">
      <c r="A175" s="220"/>
      <c r="B175" s="221">
        <v>336</v>
      </c>
      <c r="C175" s="220" t="s">
        <v>1002</v>
      </c>
      <c r="D175" s="220"/>
      <c r="E175" s="220"/>
      <c r="F175" s="220"/>
      <c r="G175" s="257">
        <v>9.2999999999999992E-3</v>
      </c>
      <c r="H175" s="220"/>
    </row>
    <row r="176" spans="1:8" ht="12.75">
      <c r="A176" s="220"/>
      <c r="B176" s="220"/>
      <c r="C176" s="220"/>
      <c r="D176" s="220"/>
      <c r="E176" s="220"/>
      <c r="F176" s="220"/>
      <c r="G176" s="220"/>
      <c r="H176" s="220"/>
    </row>
    <row r="177" spans="1:8" ht="12.75">
      <c r="A177" s="220"/>
      <c r="B177" s="220"/>
      <c r="C177" s="220"/>
      <c r="D177" s="220"/>
      <c r="E177" s="220"/>
      <c r="F177" s="220"/>
      <c r="G177" s="220"/>
      <c r="H177" s="220"/>
    </row>
    <row r="178" spans="1:8" ht="12.75">
      <c r="A178" s="220" t="s">
        <v>1008</v>
      </c>
      <c r="B178" s="221">
        <v>331</v>
      </c>
      <c r="C178" s="220" t="s">
        <v>980</v>
      </c>
      <c r="D178" s="220"/>
      <c r="E178" s="220"/>
      <c r="F178" s="220"/>
      <c r="G178" s="258">
        <v>2.6100000000000002E-2</v>
      </c>
      <c r="H178" s="220"/>
    </row>
    <row r="179" spans="1:8" ht="12.75">
      <c r="A179" s="220"/>
      <c r="B179" s="221">
        <v>332</v>
      </c>
      <c r="C179" s="220" t="s">
        <v>998</v>
      </c>
      <c r="D179" s="220"/>
      <c r="E179" s="220"/>
      <c r="F179" s="220"/>
      <c r="G179" s="258">
        <v>2.4E-2</v>
      </c>
      <c r="H179" s="220"/>
    </row>
    <row r="180" spans="1:8" ht="12.75">
      <c r="A180" s="220"/>
      <c r="B180" s="221">
        <v>333</v>
      </c>
      <c r="C180" s="220" t="s">
        <v>999</v>
      </c>
      <c r="D180" s="220"/>
      <c r="E180" s="220"/>
      <c r="F180" s="220"/>
      <c r="G180" s="258">
        <v>2.7199999999999998E-2</v>
      </c>
      <c r="H180" s="220"/>
    </row>
    <row r="181" spans="1:8" ht="12.75">
      <c r="A181" s="220"/>
      <c r="B181" s="221">
        <v>334</v>
      </c>
      <c r="C181" s="220" t="s">
        <v>1000</v>
      </c>
      <c r="D181" s="220"/>
      <c r="E181" s="220"/>
      <c r="F181" s="220"/>
      <c r="G181" s="258">
        <v>2.5899999999999999E-2</v>
      </c>
      <c r="H181" s="220"/>
    </row>
    <row r="182" spans="1:8" ht="12.75">
      <c r="A182" s="220"/>
      <c r="B182" s="221">
        <v>335</v>
      </c>
      <c r="C182" s="220" t="s">
        <v>1001</v>
      </c>
      <c r="D182" s="220"/>
      <c r="E182" s="220"/>
      <c r="F182" s="220"/>
      <c r="G182" s="258">
        <v>2.8000000000000001E-2</v>
      </c>
      <c r="H182" s="220"/>
    </row>
    <row r="183" spans="1:8" ht="12.75">
      <c r="A183" s="220"/>
      <c r="B183" s="221">
        <v>336</v>
      </c>
      <c r="C183" s="220" t="s">
        <v>1002</v>
      </c>
      <c r="D183" s="220"/>
      <c r="E183" s="220"/>
      <c r="F183" s="220"/>
      <c r="G183" s="258">
        <v>1.6799999999999999E-2</v>
      </c>
      <c r="H183" s="220"/>
    </row>
    <row r="184" spans="1:8" ht="12.75">
      <c r="A184" s="220"/>
      <c r="B184" s="220"/>
      <c r="C184" s="220"/>
      <c r="D184" s="220"/>
      <c r="E184" s="220"/>
      <c r="F184" s="220"/>
      <c r="G184" s="220"/>
      <c r="H184" s="220"/>
    </row>
    <row r="185" spans="1:8" ht="12.75">
      <c r="A185" s="220"/>
      <c r="B185" s="220"/>
      <c r="C185" s="220"/>
      <c r="D185" s="220"/>
      <c r="E185" s="220"/>
      <c r="F185" s="220"/>
      <c r="G185" s="220"/>
      <c r="H185" s="220"/>
    </row>
    <row r="186" spans="1:8" ht="12.75">
      <c r="A186" s="220" t="s">
        <v>1009</v>
      </c>
      <c r="B186" s="221">
        <v>331</v>
      </c>
      <c r="C186" s="220" t="s">
        <v>980</v>
      </c>
      <c r="D186" s="220"/>
      <c r="E186" s="220"/>
      <c r="F186" s="220"/>
      <c r="G186" s="259">
        <v>2.0799999999999999E-2</v>
      </c>
      <c r="H186" s="220"/>
    </row>
    <row r="187" spans="1:8" ht="12.75">
      <c r="A187" s="220"/>
      <c r="B187" s="221">
        <v>332</v>
      </c>
      <c r="C187" s="220" t="s">
        <v>998</v>
      </c>
      <c r="D187" s="220"/>
      <c r="E187" s="220"/>
      <c r="F187" s="220"/>
      <c r="G187" s="259">
        <v>2.7300000000000001E-2</v>
      </c>
      <c r="H187" s="220"/>
    </row>
    <row r="188" spans="1:8" ht="12.75">
      <c r="A188" s="220"/>
      <c r="B188" s="221">
        <v>333</v>
      </c>
      <c r="C188" s="220" t="s">
        <v>999</v>
      </c>
      <c r="D188" s="220"/>
      <c r="E188" s="220"/>
      <c r="F188" s="220"/>
      <c r="G188" s="259">
        <v>2.8400000000000002E-2</v>
      </c>
      <c r="H188" s="220"/>
    </row>
    <row r="189" spans="1:8" ht="12.75">
      <c r="A189" s="220"/>
      <c r="B189" s="221">
        <v>334</v>
      </c>
      <c r="C189" s="220" t="s">
        <v>1000</v>
      </c>
      <c r="D189" s="220"/>
      <c r="E189" s="220"/>
      <c r="F189" s="220"/>
      <c r="G189" s="259">
        <v>2.6200000000000001E-2</v>
      </c>
      <c r="H189" s="220"/>
    </row>
    <row r="190" spans="1:8" ht="12.75">
      <c r="A190" s="220"/>
      <c r="B190" s="221">
        <v>335</v>
      </c>
      <c r="C190" s="220" t="s">
        <v>1001</v>
      </c>
      <c r="D190" s="220"/>
      <c r="E190" s="220"/>
      <c r="F190" s="220"/>
      <c r="G190" s="259">
        <v>2.7300000000000001E-2</v>
      </c>
      <c r="H190" s="220"/>
    </row>
    <row r="191" spans="1:8" ht="12.75">
      <c r="A191" s="220"/>
      <c r="B191" s="221">
        <v>336</v>
      </c>
      <c r="C191" s="220" t="s">
        <v>1002</v>
      </c>
      <c r="D191" s="220"/>
      <c r="E191" s="220"/>
      <c r="F191" s="220"/>
      <c r="G191" s="259">
        <v>1.7100000000000001E-2</v>
      </c>
      <c r="H191" s="220"/>
    </row>
    <row r="192" spans="1:8" ht="12.75">
      <c r="A192" s="220"/>
      <c r="B192" s="221"/>
      <c r="C192" s="220"/>
      <c r="D192" s="220"/>
      <c r="E192" s="220"/>
      <c r="F192" s="220"/>
      <c r="G192" s="222"/>
      <c r="H192" s="220"/>
    </row>
    <row r="193" spans="1:9" ht="12.75">
      <c r="A193" s="220"/>
      <c r="B193" s="221"/>
      <c r="C193" s="220"/>
      <c r="D193" s="220"/>
      <c r="E193" s="220"/>
      <c r="F193" s="220"/>
      <c r="G193" s="222"/>
      <c r="H193" s="220"/>
      <c r="I193" s="41" t="s">
        <v>975</v>
      </c>
    </row>
    <row r="194" spans="1:9" ht="12.75">
      <c r="A194" s="220"/>
      <c r="B194" s="221"/>
      <c r="C194" s="330" t="s">
        <v>815</v>
      </c>
      <c r="D194" s="338"/>
      <c r="E194" s="338"/>
      <c r="F194" s="338"/>
      <c r="G194" s="338"/>
      <c r="H194" s="220"/>
      <c r="I194" s="24" t="s">
        <v>976</v>
      </c>
    </row>
    <row r="195" spans="1:9" ht="12.75">
      <c r="A195" s="220"/>
      <c r="B195" s="221"/>
      <c r="C195" s="339" t="s">
        <v>811</v>
      </c>
      <c r="D195" s="339"/>
      <c r="E195" s="339"/>
      <c r="F195" s="339"/>
      <c r="G195" s="339"/>
      <c r="H195" s="220"/>
      <c r="I195" s="24" t="s">
        <v>1035</v>
      </c>
    </row>
    <row r="196" spans="1:9" ht="12.75">
      <c r="A196" s="220"/>
      <c r="B196" s="221"/>
      <c r="C196" s="19" t="s">
        <v>272</v>
      </c>
      <c r="D196" s="19" t="s">
        <v>1031</v>
      </c>
      <c r="E196" s="19"/>
      <c r="F196" s="19"/>
      <c r="G196" s="19"/>
      <c r="H196" s="220"/>
    </row>
    <row r="197" spans="1:9" ht="12.75">
      <c r="A197" s="220"/>
      <c r="B197" s="220"/>
      <c r="C197" s="337" t="str">
        <f>+C5</f>
        <v>12 Months Ending 12/31/2015 (actuals)</v>
      </c>
      <c r="D197" s="338"/>
      <c r="E197" s="338"/>
      <c r="F197" s="338"/>
      <c r="G197" s="338"/>
      <c r="H197" s="220"/>
    </row>
    <row r="198" spans="1:9" ht="12.75">
      <c r="A198" s="220"/>
      <c r="B198" s="220"/>
      <c r="C198" s="112"/>
      <c r="D198" s="223"/>
      <c r="E198" s="223"/>
      <c r="F198" s="223"/>
      <c r="G198" s="223"/>
      <c r="H198" s="220"/>
    </row>
    <row r="199" spans="1:9" ht="12.75">
      <c r="A199" s="220"/>
      <c r="B199" s="220"/>
      <c r="C199" s="220"/>
      <c r="D199" s="220"/>
      <c r="E199" s="220"/>
      <c r="F199" s="220"/>
      <c r="G199" s="220"/>
      <c r="H199" s="220"/>
    </row>
    <row r="200" spans="1:9" ht="12.75">
      <c r="A200" s="220" t="s">
        <v>1010</v>
      </c>
      <c r="B200" s="221">
        <v>331</v>
      </c>
      <c r="C200" s="220" t="s">
        <v>980</v>
      </c>
      <c r="D200" s="220"/>
      <c r="E200" s="220"/>
      <c r="F200" s="220"/>
      <c r="G200" s="261">
        <v>2.3199999999999998E-2</v>
      </c>
      <c r="H200" s="220"/>
    </row>
    <row r="201" spans="1:9" ht="12.75">
      <c r="A201" s="220"/>
      <c r="B201" s="221">
        <v>332</v>
      </c>
      <c r="C201" s="220" t="s">
        <v>998</v>
      </c>
      <c r="D201" s="220"/>
      <c r="E201" s="220"/>
      <c r="F201" s="220"/>
      <c r="G201" s="261">
        <v>2.1399999999999999E-2</v>
      </c>
      <c r="H201" s="220"/>
    </row>
    <row r="202" spans="1:9" ht="12.75">
      <c r="A202" s="220"/>
      <c r="B202" s="221">
        <v>333</v>
      </c>
      <c r="C202" s="220" t="s">
        <v>999</v>
      </c>
      <c r="D202" s="220"/>
      <c r="E202" s="220"/>
      <c r="F202" s="220"/>
      <c r="G202" s="261">
        <v>2.46E-2</v>
      </c>
      <c r="H202" s="220"/>
    </row>
    <row r="203" spans="1:9" ht="12.75">
      <c r="A203" s="220"/>
      <c r="B203" s="221">
        <v>334</v>
      </c>
      <c r="C203" s="220" t="s">
        <v>1000</v>
      </c>
      <c r="D203" s="220"/>
      <c r="E203" s="220"/>
      <c r="F203" s="220"/>
      <c r="G203" s="261">
        <v>2.4E-2</v>
      </c>
      <c r="H203" s="220"/>
    </row>
    <row r="204" spans="1:9" ht="12.75">
      <c r="A204" s="220"/>
      <c r="B204" s="221">
        <v>335</v>
      </c>
      <c r="C204" s="220" t="s">
        <v>1001</v>
      </c>
      <c r="D204" s="220"/>
      <c r="E204" s="220"/>
      <c r="F204" s="220"/>
      <c r="G204" s="261">
        <v>2.2599999999999999E-2</v>
      </c>
      <c r="H204" s="220"/>
    </row>
    <row r="205" spans="1:9" ht="12.75">
      <c r="A205" s="220"/>
      <c r="B205" s="221">
        <v>336</v>
      </c>
      <c r="C205" s="220" t="s">
        <v>1002</v>
      </c>
      <c r="D205" s="220"/>
      <c r="E205" s="220"/>
      <c r="F205" s="220"/>
      <c r="G205" s="261">
        <v>2.4400000000000002E-2</v>
      </c>
      <c r="H205" s="220"/>
    </row>
    <row r="206" spans="1:9" ht="12.75">
      <c r="A206" s="220"/>
      <c r="B206" s="220"/>
      <c r="C206" s="220"/>
      <c r="D206" s="220"/>
      <c r="E206" s="220"/>
      <c r="F206" s="220"/>
      <c r="G206" s="260"/>
      <c r="H206" s="220"/>
    </row>
    <row r="207" spans="1:9" ht="12.75">
      <c r="A207" s="220"/>
      <c r="B207" s="220"/>
      <c r="C207" s="220"/>
      <c r="D207" s="220"/>
      <c r="E207" s="220"/>
      <c r="F207" s="220"/>
      <c r="G207" s="220"/>
      <c r="H207" s="220"/>
    </row>
    <row r="208" spans="1:9" ht="12.75">
      <c r="A208" s="220" t="s">
        <v>1011</v>
      </c>
      <c r="B208" s="221">
        <v>331</v>
      </c>
      <c r="C208" s="220" t="s">
        <v>980</v>
      </c>
      <c r="D208" s="220"/>
      <c r="E208" s="220"/>
      <c r="F208" s="220"/>
      <c r="G208" s="262">
        <v>1.3100000000000001E-2</v>
      </c>
      <c r="H208" s="220"/>
    </row>
    <row r="209" spans="1:8" ht="12.75">
      <c r="A209" s="220"/>
      <c r="B209" s="221">
        <v>332</v>
      </c>
      <c r="C209" s="220" t="s">
        <v>998</v>
      </c>
      <c r="D209" s="220"/>
      <c r="E209" s="220"/>
      <c r="F209" s="220"/>
      <c r="G209" s="262">
        <v>1.2200000000000001E-2</v>
      </c>
      <c r="H209" s="220"/>
    </row>
    <row r="210" spans="1:8" ht="12.75">
      <c r="A210" s="220"/>
      <c r="B210" s="221">
        <v>333</v>
      </c>
      <c r="C210" s="220" t="s">
        <v>999</v>
      </c>
      <c r="D210" s="220"/>
      <c r="E210" s="220"/>
      <c r="F210" s="220"/>
      <c r="G210" s="262">
        <v>2.24E-2</v>
      </c>
      <c r="H210" s="220"/>
    </row>
    <row r="211" spans="1:8" ht="12.75">
      <c r="A211" s="220"/>
      <c r="B211" s="221">
        <v>334</v>
      </c>
      <c r="C211" s="220" t="s">
        <v>1000</v>
      </c>
      <c r="D211" s="220"/>
      <c r="E211" s="220"/>
      <c r="F211" s="220"/>
      <c r="G211" s="262">
        <v>2.4500000000000001E-2</v>
      </c>
      <c r="H211" s="220"/>
    </row>
    <row r="212" spans="1:8" ht="12.75">
      <c r="A212" s="220"/>
      <c r="B212" s="221">
        <v>335</v>
      </c>
      <c r="C212" s="220" t="s">
        <v>1001</v>
      </c>
      <c r="D212" s="220"/>
      <c r="E212" s="220"/>
      <c r="F212" s="220"/>
      <c r="G212" s="262">
        <v>2.6700000000000002E-2</v>
      </c>
      <c r="H212" s="220"/>
    </row>
    <row r="213" spans="1:8" ht="12.75">
      <c r="A213" s="220"/>
      <c r="B213" s="221">
        <v>336</v>
      </c>
      <c r="C213" s="220" t="s">
        <v>1002</v>
      </c>
      <c r="D213" s="220"/>
      <c r="E213" s="220"/>
      <c r="F213" s="220"/>
      <c r="G213" s="262">
        <v>1.09E-2</v>
      </c>
      <c r="H213" s="220"/>
    </row>
    <row r="214" spans="1:8" ht="12.75">
      <c r="A214" s="220"/>
      <c r="B214" s="220"/>
      <c r="C214" s="220"/>
      <c r="D214" s="220"/>
      <c r="E214" s="220"/>
      <c r="F214" s="220"/>
      <c r="G214" s="220"/>
      <c r="H214" s="220"/>
    </row>
    <row r="215" spans="1:8" ht="12.75">
      <c r="A215" s="220"/>
      <c r="B215" s="220"/>
      <c r="C215" s="220"/>
      <c r="D215" s="220"/>
      <c r="E215" s="220"/>
      <c r="F215" s="220"/>
      <c r="G215" s="220"/>
      <c r="H215" s="220"/>
    </row>
    <row r="216" spans="1:8" ht="12.75">
      <c r="A216" s="220" t="s">
        <v>1012</v>
      </c>
      <c r="B216" s="220"/>
      <c r="C216" s="220"/>
      <c r="D216" s="220"/>
      <c r="E216" s="220"/>
      <c r="F216" s="220"/>
      <c r="G216" s="220"/>
      <c r="H216" s="220"/>
    </row>
    <row r="217" spans="1:8" ht="12.75">
      <c r="A217" s="220"/>
      <c r="B217" s="220"/>
      <c r="C217" s="220"/>
      <c r="D217" s="220"/>
      <c r="E217" s="220"/>
      <c r="F217" s="220"/>
      <c r="G217" s="220"/>
      <c r="H217" s="220"/>
    </row>
    <row r="218" spans="1:8" ht="12.75">
      <c r="A218" s="220" t="s">
        <v>1013</v>
      </c>
      <c r="B218" s="221">
        <v>341</v>
      </c>
      <c r="C218" s="220" t="s">
        <v>980</v>
      </c>
      <c r="D218" s="220"/>
      <c r="E218" s="220"/>
      <c r="F218" s="220"/>
      <c r="G218" s="267">
        <v>1.3299999999999999E-2</v>
      </c>
      <c r="H218" s="220"/>
    </row>
    <row r="219" spans="1:8" ht="12.75">
      <c r="A219" s="220"/>
      <c r="B219" s="221">
        <v>344</v>
      </c>
      <c r="C219" s="220" t="s">
        <v>1014</v>
      </c>
      <c r="D219" s="220"/>
      <c r="E219" s="220"/>
      <c r="F219" s="220"/>
      <c r="G219" s="267">
        <v>1.44E-2</v>
      </c>
      <c r="H219" s="220"/>
    </row>
    <row r="220" spans="1:8" ht="12.75">
      <c r="A220" s="220"/>
      <c r="B220" s="221">
        <v>345</v>
      </c>
      <c r="C220" s="220" t="s">
        <v>1015</v>
      </c>
      <c r="D220" s="220"/>
      <c r="E220" s="220"/>
      <c r="F220" s="220"/>
      <c r="G220" s="267">
        <v>1.35E-2</v>
      </c>
      <c r="H220" s="220"/>
    </row>
    <row r="221" spans="1:8" ht="12.75">
      <c r="A221" s="220"/>
      <c r="B221" s="221">
        <v>346</v>
      </c>
      <c r="C221" s="220" t="s">
        <v>1016</v>
      </c>
      <c r="D221" s="220"/>
      <c r="E221" s="220"/>
      <c r="F221" s="220"/>
      <c r="G221" s="267">
        <v>2.8400000000000002E-2</v>
      </c>
      <c r="H221" s="220"/>
    </row>
    <row r="222" spans="1:8" s="263" customFormat="1" ht="12.75">
      <c r="A222" s="264"/>
      <c r="B222" s="265"/>
      <c r="C222" s="264"/>
      <c r="D222" s="264"/>
      <c r="E222" s="264"/>
      <c r="F222" s="264"/>
      <c r="G222" s="267"/>
      <c r="H222" s="264"/>
    </row>
    <row r="223" spans="1:8" s="263" customFormat="1" ht="12.75">
      <c r="A223" s="264"/>
      <c r="B223" s="265"/>
      <c r="C223" s="264"/>
      <c r="D223" s="264"/>
      <c r="E223" s="264"/>
      <c r="F223" s="264"/>
      <c r="G223" s="267"/>
      <c r="H223" s="264"/>
    </row>
    <row r="224" spans="1:8" s="263" customFormat="1" ht="12.75">
      <c r="A224" s="270" t="s">
        <v>1143</v>
      </c>
      <c r="B224" s="271">
        <v>341</v>
      </c>
      <c r="C224" s="270" t="s">
        <v>980</v>
      </c>
      <c r="D224" s="270"/>
      <c r="E224" s="270"/>
      <c r="F224" s="270"/>
      <c r="G224" s="273">
        <v>2.87E-2</v>
      </c>
      <c r="H224" s="264"/>
    </row>
    <row r="225" spans="1:9" s="263" customFormat="1" ht="12.75">
      <c r="A225" s="270"/>
      <c r="B225" s="271">
        <v>342</v>
      </c>
      <c r="C225" s="270" t="s">
        <v>1144</v>
      </c>
      <c r="D225" s="270"/>
      <c r="E225" s="270"/>
      <c r="F225" s="270"/>
      <c r="G225" s="273">
        <v>2.8799999999999999E-2</v>
      </c>
      <c r="H225" s="264"/>
    </row>
    <row r="226" spans="1:9" s="263" customFormat="1" ht="12.75">
      <c r="A226" s="270"/>
      <c r="B226" s="271">
        <v>344</v>
      </c>
      <c r="C226" s="270" t="s">
        <v>1014</v>
      </c>
      <c r="D226" s="270"/>
      <c r="E226" s="270"/>
      <c r="F226" s="270"/>
      <c r="G226" s="273">
        <v>2.87E-2</v>
      </c>
      <c r="H226" s="264"/>
    </row>
    <row r="227" spans="1:9" s="263" customFormat="1" ht="12.75">
      <c r="A227" s="270"/>
      <c r="B227" s="271">
        <v>345</v>
      </c>
      <c r="C227" s="270" t="s">
        <v>1015</v>
      </c>
      <c r="D227" s="270"/>
      <c r="E227" s="270"/>
      <c r="F227" s="270"/>
      <c r="G227" s="273">
        <v>2.8899999999999999E-2</v>
      </c>
      <c r="H227" s="264"/>
    </row>
    <row r="228" spans="1:9" ht="12.75">
      <c r="A228" s="270"/>
      <c r="B228" s="271">
        <v>346</v>
      </c>
      <c r="C228" s="270" t="s">
        <v>1016</v>
      </c>
      <c r="D228" s="270"/>
      <c r="E228" s="270"/>
      <c r="F228" s="270"/>
      <c r="G228" s="273">
        <v>3.49E-2</v>
      </c>
      <c r="H228" s="220"/>
    </row>
    <row r="229" spans="1:9" ht="12.75">
      <c r="A229" s="220"/>
      <c r="B229" s="220"/>
      <c r="C229" s="220"/>
      <c r="D229" s="220"/>
      <c r="E229" s="220"/>
      <c r="F229" s="220"/>
      <c r="G229" s="220"/>
      <c r="H229" s="220"/>
    </row>
    <row r="230" spans="1:9" ht="12.75">
      <c r="A230" s="220"/>
      <c r="B230" s="221"/>
      <c r="C230" s="220"/>
      <c r="D230" s="220"/>
      <c r="E230" s="220"/>
      <c r="F230" s="220"/>
      <c r="G230" s="222"/>
      <c r="H230" s="220"/>
    </row>
    <row r="231" spans="1:9" ht="12.75">
      <c r="A231" s="220"/>
      <c r="B231" s="221"/>
      <c r="C231" s="220"/>
      <c r="D231" s="220"/>
      <c r="E231" s="220"/>
      <c r="F231" s="220"/>
      <c r="G231" s="222"/>
      <c r="H231" s="220"/>
      <c r="I231" s="41" t="s">
        <v>975</v>
      </c>
    </row>
    <row r="232" spans="1:9" ht="12.75">
      <c r="A232" s="220"/>
      <c r="B232" s="221"/>
      <c r="C232" s="330" t="s">
        <v>815</v>
      </c>
      <c r="D232" s="338"/>
      <c r="E232" s="338"/>
      <c r="F232" s="338"/>
      <c r="G232" s="338"/>
      <c r="H232" s="220"/>
      <c r="I232" s="24" t="s">
        <v>976</v>
      </c>
    </row>
    <row r="233" spans="1:9" ht="12.75">
      <c r="A233" s="220"/>
      <c r="B233" s="221"/>
      <c r="C233" s="339" t="s">
        <v>811</v>
      </c>
      <c r="D233" s="339"/>
      <c r="E233" s="339"/>
      <c r="F233" s="339"/>
      <c r="G233" s="339"/>
      <c r="H233" s="220"/>
      <c r="I233" s="24" t="s">
        <v>1036</v>
      </c>
    </row>
    <row r="234" spans="1:9" ht="12.75">
      <c r="A234" s="220"/>
      <c r="B234" s="221"/>
      <c r="C234" s="19" t="s">
        <v>272</v>
      </c>
      <c r="D234" s="19" t="s">
        <v>1031</v>
      </c>
      <c r="E234" s="19"/>
      <c r="F234" s="19"/>
      <c r="G234" s="19"/>
      <c r="H234" s="220"/>
      <c r="I234" s="24"/>
    </row>
    <row r="235" spans="1:9" ht="12.75">
      <c r="A235" s="220"/>
      <c r="B235" s="221"/>
      <c r="C235" s="337" t="str">
        <f>+C5</f>
        <v>12 Months Ending 12/31/2015 (actuals)</v>
      </c>
      <c r="D235" s="338"/>
      <c r="E235" s="338"/>
      <c r="F235" s="338"/>
      <c r="G235" s="338"/>
      <c r="H235" s="220"/>
      <c r="I235" s="24"/>
    </row>
    <row r="236" spans="1:9" ht="12.75">
      <c r="A236" s="220"/>
      <c r="B236" s="221"/>
      <c r="C236" s="220"/>
      <c r="D236" s="220"/>
      <c r="E236" s="220"/>
      <c r="F236" s="220"/>
      <c r="G236" s="222"/>
      <c r="H236" s="220"/>
      <c r="I236" s="24"/>
    </row>
    <row r="237" spans="1:9" ht="12.75">
      <c r="A237" s="220" t="s">
        <v>1017</v>
      </c>
      <c r="B237" s="220"/>
      <c r="C237" s="220"/>
      <c r="D237" s="220"/>
      <c r="E237" s="220"/>
      <c r="F237" s="220"/>
      <c r="G237" s="220"/>
      <c r="H237" s="220"/>
    </row>
    <row r="238" spans="1:9" ht="12.75">
      <c r="A238" s="220"/>
      <c r="B238" s="221">
        <v>390</v>
      </c>
      <c r="C238" s="220" t="s">
        <v>980</v>
      </c>
      <c r="D238" s="220"/>
      <c r="E238" s="220"/>
      <c r="F238" s="220"/>
      <c r="G238" s="266">
        <v>1.5100000000000001E-2</v>
      </c>
      <c r="H238" s="220"/>
    </row>
    <row r="239" spans="1:9" ht="12.75">
      <c r="A239" s="220"/>
      <c r="B239" s="221">
        <v>391</v>
      </c>
      <c r="C239" s="220" t="s">
        <v>1018</v>
      </c>
      <c r="D239" s="220"/>
      <c r="E239" s="220"/>
      <c r="F239" s="220"/>
      <c r="G239" s="266">
        <v>2.8899999999999999E-2</v>
      </c>
      <c r="H239" s="220"/>
    </row>
    <row r="240" spans="1:9" ht="12.75">
      <c r="A240" s="220"/>
      <c r="B240" s="221">
        <v>392</v>
      </c>
      <c r="C240" s="220" t="s">
        <v>1019</v>
      </c>
      <c r="D240" s="220"/>
      <c r="E240" s="220"/>
      <c r="F240" s="220"/>
      <c r="G240" s="266">
        <v>1.8200000000000001E-2</v>
      </c>
      <c r="H240" s="220"/>
    </row>
    <row r="241" spans="1:8" ht="12.75">
      <c r="A241" s="220"/>
      <c r="B241" s="221">
        <v>393</v>
      </c>
      <c r="C241" s="220" t="s">
        <v>303</v>
      </c>
      <c r="D241" s="220"/>
      <c r="E241" s="220"/>
      <c r="F241" s="220"/>
      <c r="G241" s="266">
        <v>1.7600000000000001E-2</v>
      </c>
      <c r="H241" s="220"/>
    </row>
    <row r="242" spans="1:8" ht="12.75">
      <c r="A242" s="220"/>
      <c r="B242" s="221">
        <v>394</v>
      </c>
      <c r="C242" s="220" t="s">
        <v>1020</v>
      </c>
      <c r="D242" s="220"/>
      <c r="E242" s="220"/>
      <c r="F242" s="220"/>
      <c r="G242" s="266">
        <v>2.3599999999999999E-2</v>
      </c>
      <c r="H242" s="220"/>
    </row>
    <row r="243" spans="1:8" ht="12.75">
      <c r="A243" s="220"/>
      <c r="B243" s="221">
        <v>395</v>
      </c>
      <c r="C243" s="220" t="s">
        <v>1021</v>
      </c>
      <c r="D243" s="220"/>
      <c r="E243" s="220"/>
      <c r="F243" s="220"/>
      <c r="G243" s="266">
        <v>2.6499999999999999E-2</v>
      </c>
      <c r="H243" s="220"/>
    </row>
    <row r="244" spans="1:8" ht="12.75">
      <c r="A244" s="220"/>
      <c r="B244" s="221">
        <v>396</v>
      </c>
      <c r="C244" s="220" t="s">
        <v>1022</v>
      </c>
      <c r="D244" s="220"/>
      <c r="E244" s="220"/>
      <c r="F244" s="220"/>
      <c r="G244" s="266">
        <v>1.9099999999999999E-2</v>
      </c>
      <c r="H244" s="220"/>
    </row>
    <row r="245" spans="1:8" ht="12.75">
      <c r="A245" s="220"/>
      <c r="B245" s="221">
        <v>397</v>
      </c>
      <c r="C245" s="220" t="s">
        <v>1023</v>
      </c>
      <c r="D245" s="220"/>
      <c r="E245" s="220"/>
      <c r="F245" s="220"/>
      <c r="G245" s="266">
        <v>4.0599999999999997E-2</v>
      </c>
      <c r="H245" s="220"/>
    </row>
    <row r="246" spans="1:8" ht="12.75">
      <c r="A246" s="220"/>
      <c r="B246" s="221">
        <v>398</v>
      </c>
      <c r="C246" s="220" t="s">
        <v>1024</v>
      </c>
      <c r="D246" s="220"/>
      <c r="E246" s="220"/>
      <c r="F246" s="220"/>
      <c r="G246" s="266">
        <v>2.6200000000000001E-2</v>
      </c>
      <c r="H246" s="220"/>
    </row>
    <row r="247" spans="1:8" s="269" customFormat="1" ht="12.75">
      <c r="A247" s="270"/>
      <c r="B247" s="271"/>
      <c r="C247" s="270"/>
      <c r="D247" s="270"/>
      <c r="E247" s="270"/>
      <c r="F247" s="270"/>
      <c r="G247" s="272"/>
      <c r="H247" s="270"/>
    </row>
    <row r="248" spans="1:8" ht="12.75">
      <c r="A248" s="220"/>
      <c r="B248" s="220"/>
      <c r="C248" s="220"/>
      <c r="D248" s="220"/>
      <c r="E248" s="220"/>
      <c r="F248" s="220"/>
      <c r="G248" s="220"/>
      <c r="H248" s="220"/>
    </row>
    <row r="249" spans="1:8" ht="12.75">
      <c r="A249" s="220" t="s">
        <v>1025</v>
      </c>
      <c r="B249" s="220"/>
      <c r="C249" s="220"/>
      <c r="D249" s="220"/>
      <c r="E249" s="220"/>
      <c r="F249" s="220"/>
      <c r="G249" s="220"/>
      <c r="H249" s="220"/>
    </row>
    <row r="250" spans="1:8" ht="12.75">
      <c r="A250" s="220"/>
      <c r="B250" s="221">
        <v>301</v>
      </c>
      <c r="C250" s="220" t="s">
        <v>1026</v>
      </c>
      <c r="D250" s="220"/>
      <c r="E250" s="220"/>
      <c r="F250" s="220"/>
      <c r="G250" s="268">
        <v>0</v>
      </c>
      <c r="H250" s="220"/>
    </row>
    <row r="251" spans="1:8" ht="12.75">
      <c r="A251" s="220"/>
      <c r="B251" s="221">
        <v>302</v>
      </c>
      <c r="C251" s="220" t="s">
        <v>1027</v>
      </c>
      <c r="D251" s="220"/>
      <c r="E251" s="220"/>
      <c r="F251" s="220"/>
      <c r="G251" s="268" t="s">
        <v>1142</v>
      </c>
      <c r="H251" s="220"/>
    </row>
    <row r="252" spans="1:8" ht="12.75">
      <c r="A252" s="220"/>
      <c r="B252" s="221">
        <v>303</v>
      </c>
      <c r="C252" s="220" t="s">
        <v>1028</v>
      </c>
      <c r="D252" s="220"/>
      <c r="E252" s="220"/>
      <c r="F252" s="220"/>
      <c r="G252" s="268">
        <v>0.2</v>
      </c>
      <c r="H252" s="220"/>
    </row>
    <row r="253" spans="1:8" ht="12.75">
      <c r="A253" s="220"/>
      <c r="B253" s="220"/>
      <c r="C253" s="220"/>
      <c r="D253" s="220"/>
      <c r="E253" s="220"/>
      <c r="F253" s="220"/>
      <c r="G253" s="220"/>
      <c r="H253" s="220"/>
    </row>
  </sheetData>
  <mergeCells count="18">
    <mergeCell ref="C235:G235"/>
    <mergeCell ref="C102:G102"/>
    <mergeCell ref="C103:G103"/>
    <mergeCell ref="C105:G105"/>
    <mergeCell ref="C150:G150"/>
    <mergeCell ref="C151:G151"/>
    <mergeCell ref="C153:G153"/>
    <mergeCell ref="C194:G194"/>
    <mergeCell ref="C195:G195"/>
    <mergeCell ref="C197:G197"/>
    <mergeCell ref="C232:G232"/>
    <mergeCell ref="C233:G233"/>
    <mergeCell ref="C55:G55"/>
    <mergeCell ref="C2:G2"/>
    <mergeCell ref="C3:G3"/>
    <mergeCell ref="C5:G5"/>
    <mergeCell ref="C52:G52"/>
    <mergeCell ref="C53:G53"/>
  </mergeCells>
  <pageMargins left="0.7" right="0.7" top="0.75" bottom="0.75" header="0.3" footer="0.3"/>
  <pageSetup orientation="portrait" r:id="rId1"/>
  <rowBreaks count="5" manualBreakCount="5">
    <brk id="50" max="16383" man="1"/>
    <brk id="99" max="16383" man="1"/>
    <brk id="147" max="16383" man="1"/>
    <brk id="191" max="16383" man="1"/>
    <brk id="2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I33"/>
  <sheetViews>
    <sheetView tabSelected="1" zoomScaleNormal="100" workbookViewId="0">
      <selection activeCell="F7" sqref="F7"/>
    </sheetView>
  </sheetViews>
  <sheetFormatPr defaultColWidth="9" defaultRowHeight="12"/>
  <cols>
    <col min="1" max="2" width="9" style="37"/>
    <col min="3" max="3" width="11.75" style="37" bestFit="1" customWidth="1"/>
    <col min="4" max="4" width="10.875" style="37" customWidth="1"/>
    <col min="5" max="5" width="14.875" style="37" customWidth="1"/>
    <col min="6" max="6" width="12.25" style="37" customWidth="1"/>
    <col min="7" max="7" width="7.875" style="37" customWidth="1"/>
    <col min="8" max="8" width="10.125" style="37" customWidth="1"/>
    <col min="9" max="9" width="9.375" style="37" customWidth="1"/>
    <col min="10" max="10" width="12.625" style="37" customWidth="1"/>
    <col min="11" max="11" width="9" style="37"/>
    <col min="12" max="12" width="12.625" style="37" customWidth="1"/>
    <col min="13" max="13" width="3.625" style="37" customWidth="1"/>
    <col min="14" max="14" width="9" style="37"/>
    <col min="15" max="15" width="5.625" style="37" customWidth="1"/>
    <col min="16" max="16" width="33.625" style="37" customWidth="1"/>
    <col min="17" max="17" width="3.625" style="37" customWidth="1"/>
    <col min="18" max="18" width="13.625" style="37" customWidth="1"/>
    <col min="19" max="16384" width="9" style="37"/>
  </cols>
  <sheetData>
    <row r="1" spans="1:35" ht="12.75">
      <c r="E1" s="18" t="s">
        <v>975</v>
      </c>
      <c r="G1" s="2" t="s">
        <v>411</v>
      </c>
      <c r="H1" s="3"/>
      <c r="I1" s="3"/>
      <c r="J1" s="3"/>
      <c r="K1" s="3"/>
      <c r="L1" s="18" t="s">
        <v>975</v>
      </c>
      <c r="W1" s="37" t="s">
        <v>784</v>
      </c>
      <c r="AC1" s="37" t="s">
        <v>784</v>
      </c>
      <c r="AI1" s="37" t="s">
        <v>784</v>
      </c>
    </row>
    <row r="2" spans="1:35" ht="12.75">
      <c r="B2"/>
      <c r="C2" s="3"/>
      <c r="E2" s="18" t="s">
        <v>410</v>
      </c>
      <c r="G2" s="4" t="s">
        <v>837</v>
      </c>
      <c r="H2" s="3"/>
      <c r="I2" s="3"/>
      <c r="J2" s="3"/>
      <c r="K2" s="3"/>
      <c r="L2" s="18" t="s">
        <v>24</v>
      </c>
    </row>
    <row r="3" spans="1:35" ht="12.75">
      <c r="A3" s="330" t="s">
        <v>815</v>
      </c>
      <c r="B3" s="338"/>
      <c r="C3" s="338"/>
      <c r="D3" s="338"/>
      <c r="E3" s="338"/>
      <c r="F3" s="3"/>
      <c r="G3" s="30" t="str">
        <f>INPUT!$B$2</f>
        <v>12 Months Ending 12/31/2018 (actuals) for 2019</v>
      </c>
      <c r="I3" s="3"/>
      <c r="K3" s="3"/>
      <c r="L3" s="3"/>
    </row>
    <row r="4" spans="1:35" ht="12.75">
      <c r="A4" s="339" t="s">
        <v>811</v>
      </c>
      <c r="B4" s="339"/>
      <c r="C4" s="339"/>
      <c r="D4" s="339"/>
      <c r="E4" s="339"/>
      <c r="F4" s="3"/>
      <c r="H4" s="3"/>
      <c r="I4" s="3"/>
      <c r="J4" s="3"/>
      <c r="K4" s="3"/>
      <c r="L4" s="3"/>
    </row>
    <row r="5" spans="1:35" ht="12.75">
      <c r="A5" s="337" t="s">
        <v>1151</v>
      </c>
      <c r="B5" s="338"/>
      <c r="C5" s="338"/>
      <c r="D5" s="338"/>
      <c r="E5" s="338"/>
      <c r="F5" s="3"/>
      <c r="G5" s="3"/>
      <c r="H5" s="3"/>
      <c r="I5" s="3"/>
      <c r="J5" s="3"/>
      <c r="K5" s="3"/>
      <c r="L5" s="3"/>
    </row>
    <row r="6" spans="1:35" ht="12.75">
      <c r="G6" s="2" t="s">
        <v>373</v>
      </c>
      <c r="H6" s="2" t="s">
        <v>717</v>
      </c>
      <c r="I6" s="3"/>
      <c r="J6" s="3"/>
      <c r="K6" s="3"/>
      <c r="L6" s="3"/>
    </row>
    <row r="7" spans="1:35" ht="12.75">
      <c r="A7" s="3"/>
      <c r="B7" s="3"/>
      <c r="C7" s="5" t="s">
        <v>368</v>
      </c>
      <c r="D7" s="5" t="s">
        <v>13</v>
      </c>
      <c r="E7" s="5" t="s">
        <v>14</v>
      </c>
      <c r="G7" s="3"/>
      <c r="H7" s="3"/>
      <c r="I7" s="3"/>
      <c r="J7" s="3"/>
      <c r="K7" s="3"/>
      <c r="L7" s="3"/>
    </row>
    <row r="8" spans="1:35" ht="12.75">
      <c r="A8" s="3"/>
      <c r="B8" s="3"/>
      <c r="C8" s="5" t="s">
        <v>714</v>
      </c>
      <c r="D8" s="1" t="s">
        <v>715</v>
      </c>
      <c r="E8" s="5" t="s">
        <v>15</v>
      </c>
      <c r="G8" s="3"/>
      <c r="H8" s="331" t="s">
        <v>716</v>
      </c>
      <c r="I8" s="336" t="s">
        <v>190</v>
      </c>
      <c r="J8" s="336"/>
      <c r="K8" s="336"/>
      <c r="L8" s="336"/>
    </row>
    <row r="9" spans="1:35" ht="12.75">
      <c r="A9" s="3"/>
      <c r="B9" s="3"/>
      <c r="C9" s="5" t="s">
        <v>374</v>
      </c>
      <c r="D9" s="5" t="s">
        <v>16</v>
      </c>
      <c r="E9" s="5" t="s">
        <v>17</v>
      </c>
      <c r="G9" s="3"/>
      <c r="H9" s="331"/>
      <c r="I9" s="332" t="s">
        <v>838</v>
      </c>
      <c r="J9" s="332"/>
      <c r="K9" s="332"/>
      <c r="L9" s="332"/>
    </row>
    <row r="10" spans="1:35" ht="12.75">
      <c r="A10" s="2" t="s">
        <v>718</v>
      </c>
      <c r="B10" s="3"/>
      <c r="C10" s="3"/>
      <c r="D10" s="3"/>
      <c r="E10" s="3"/>
      <c r="G10" s="3"/>
      <c r="H10" s="3"/>
      <c r="I10" s="4"/>
      <c r="J10" s="3"/>
      <c r="K10" s="3"/>
      <c r="L10" s="3"/>
    </row>
    <row r="11" spans="1:35" ht="12.75">
      <c r="A11" s="3"/>
      <c r="B11" s="3"/>
      <c r="C11" s="3"/>
      <c r="D11" s="3"/>
      <c r="E11" s="3"/>
      <c r="G11" s="3"/>
      <c r="H11" s="3"/>
      <c r="I11" s="3"/>
      <c r="J11" s="3"/>
      <c r="K11" s="3"/>
      <c r="L11" s="3"/>
    </row>
    <row r="12" spans="1:35" ht="12.75">
      <c r="A12" s="2" t="s">
        <v>18</v>
      </c>
      <c r="B12" s="3"/>
      <c r="C12" s="5" t="s">
        <v>651</v>
      </c>
      <c r="D12" s="5"/>
      <c r="E12" s="1" t="s">
        <v>19</v>
      </c>
      <c r="G12" s="3"/>
      <c r="H12" s="3"/>
      <c r="I12" s="333">
        <f>'B3-B4'!D50</f>
        <v>808570474.46072221</v>
      </c>
      <c r="J12" s="333"/>
      <c r="K12" s="331" t="s">
        <v>378</v>
      </c>
      <c r="L12" s="334">
        <f>(I12/I13)/365</f>
        <v>403.34685078201676</v>
      </c>
      <c r="N12" s="37" t="s">
        <v>272</v>
      </c>
    </row>
    <row r="13" spans="1:35" ht="12.75">
      <c r="A13" s="3"/>
      <c r="B13" s="3"/>
      <c r="C13" s="3"/>
      <c r="D13" s="3"/>
      <c r="E13" s="3"/>
      <c r="G13" s="3"/>
      <c r="H13" s="3"/>
      <c r="I13" s="156">
        <f>INPUT!C8</f>
        <v>5492.2</v>
      </c>
      <c r="J13" s="5" t="s">
        <v>701</v>
      </c>
      <c r="K13" s="331"/>
      <c r="L13" s="335"/>
    </row>
    <row r="14" spans="1:35" ht="12.75">
      <c r="A14" s="2" t="s">
        <v>20</v>
      </c>
      <c r="B14" s="3"/>
      <c r="C14" s="61">
        <f>L12</f>
        <v>403.34685078201676</v>
      </c>
      <c r="D14" s="14">
        <f>INPUT!C8</f>
        <v>5492.2</v>
      </c>
      <c r="E14" s="39">
        <f>ROUND(+C14*D14,2)</f>
        <v>2215261.5699999998</v>
      </c>
      <c r="F14" s="3"/>
      <c r="G14" s="3"/>
      <c r="H14" s="3"/>
      <c r="K14" s="62"/>
      <c r="L14" s="37" t="s">
        <v>272</v>
      </c>
    </row>
    <row r="15" spans="1:35" ht="12.7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35" ht="12.75">
      <c r="A16" s="3"/>
      <c r="B16" s="3"/>
      <c r="C16" s="3"/>
      <c r="D16" s="3"/>
      <c r="E16" s="3"/>
      <c r="F16" s="3"/>
      <c r="G16" s="3"/>
      <c r="H16" s="2" t="s">
        <v>967</v>
      </c>
      <c r="I16" s="3"/>
      <c r="J16" s="3"/>
      <c r="K16" s="3"/>
    </row>
    <row r="17" spans="1:12" ht="12.75">
      <c r="C17" s="37" t="s">
        <v>272</v>
      </c>
      <c r="F17" s="3"/>
      <c r="G17" s="3"/>
      <c r="H17" s="3"/>
      <c r="I17" s="3"/>
      <c r="J17" s="3"/>
      <c r="K17" s="3"/>
      <c r="L17" s="3"/>
    </row>
    <row r="18" spans="1:12" ht="12.75">
      <c r="A18" s="2" t="s">
        <v>398</v>
      </c>
      <c r="B18" s="4" t="s">
        <v>864</v>
      </c>
      <c r="C18" s="3"/>
      <c r="D18" s="3"/>
      <c r="E18" s="3"/>
      <c r="G18" s="2" t="s">
        <v>398</v>
      </c>
      <c r="H18" s="4" t="s">
        <v>713</v>
      </c>
      <c r="I18" s="3"/>
      <c r="J18" s="3"/>
      <c r="K18" s="3"/>
      <c r="L18" s="3"/>
    </row>
    <row r="19" spans="1:12" ht="12.75">
      <c r="A19" s="3"/>
      <c r="B19" s="2" t="s">
        <v>865</v>
      </c>
      <c r="C19" s="3"/>
      <c r="D19" s="3"/>
      <c r="E19" s="3"/>
      <c r="G19" s="3"/>
      <c r="H19" s="2" t="s">
        <v>809</v>
      </c>
      <c r="I19" s="3"/>
      <c r="J19" s="3"/>
      <c r="K19" s="3"/>
      <c r="L19" s="3"/>
    </row>
    <row r="20" spans="1:12" ht="12.75">
      <c r="A20" s="3"/>
      <c r="B20" s="2"/>
      <c r="C20" s="3"/>
      <c r="D20" s="3"/>
      <c r="E20" s="3"/>
      <c r="F20" s="3"/>
      <c r="G20" s="3"/>
      <c r="H20" s="32"/>
      <c r="I20" s="3"/>
      <c r="J20" s="3"/>
      <c r="K20" s="3"/>
      <c r="L20" s="3"/>
    </row>
    <row r="21" spans="1:12" ht="12.75">
      <c r="A21" s="3"/>
      <c r="B21" s="2"/>
      <c r="C21" s="3"/>
      <c r="D21" s="3"/>
      <c r="E21" s="3"/>
      <c r="F21" s="3"/>
      <c r="G21" s="3"/>
      <c r="H21" s="32"/>
      <c r="I21" s="3"/>
      <c r="J21" s="3"/>
      <c r="K21" s="3"/>
      <c r="L21" s="3"/>
    </row>
    <row r="22" spans="1:12" ht="12.75">
      <c r="A22" s="3"/>
      <c r="B22" s="4"/>
      <c r="C22" s="3"/>
      <c r="D22" s="3"/>
      <c r="E22" s="3"/>
      <c r="F22" s="3"/>
      <c r="G22" s="3"/>
      <c r="H22" s="32"/>
      <c r="I22" s="3"/>
      <c r="J22" s="3"/>
      <c r="K22" s="3"/>
      <c r="L22" s="3"/>
    </row>
    <row r="23" spans="1:12" ht="12.75">
      <c r="A23" s="3"/>
      <c r="B23" s="12"/>
      <c r="C23" s="32"/>
      <c r="D23" s="3"/>
      <c r="E23" s="3"/>
      <c r="F23" s="3"/>
      <c r="G23" s="3"/>
      <c r="H23" s="3"/>
      <c r="I23" s="3"/>
      <c r="J23" s="3"/>
      <c r="K23" s="5"/>
      <c r="L23" s="3"/>
    </row>
    <row r="24" spans="1:12" ht="12.75">
      <c r="A24" s="3"/>
      <c r="B24" s="32"/>
      <c r="C24" s="3"/>
      <c r="D24" s="3"/>
      <c r="E24" s="3"/>
      <c r="F24" s="3"/>
      <c r="I24" s="155"/>
      <c r="K24" s="62"/>
    </row>
    <row r="25" spans="1:12" ht="12.75">
      <c r="F25" s="3"/>
      <c r="I25" s="337"/>
      <c r="J25" s="337"/>
    </row>
    <row r="26" spans="1:12" ht="12.75">
      <c r="B26" s="2"/>
      <c r="F26" s="3"/>
      <c r="I26" s="337"/>
      <c r="J26" s="337"/>
    </row>
    <row r="27" spans="1:12" ht="12.75">
      <c r="B27" s="2"/>
      <c r="F27" s="3"/>
      <c r="I27" s="337"/>
      <c r="J27" s="337"/>
    </row>
    <row r="28" spans="1:12" ht="12.75">
      <c r="B28" s="2"/>
    </row>
    <row r="29" spans="1:12" ht="12.75">
      <c r="B29" s="4"/>
    </row>
    <row r="30" spans="1:12" ht="12.75">
      <c r="B30" s="2"/>
    </row>
    <row r="31" spans="1:12" ht="12.75">
      <c r="B31" s="12"/>
    </row>
    <row r="32" spans="1:12" ht="12.75">
      <c r="B32" s="12"/>
    </row>
    <row r="33" spans="2:2" ht="12.75">
      <c r="B33" s="12"/>
    </row>
  </sheetData>
  <mergeCells count="12">
    <mergeCell ref="I26:J26"/>
    <mergeCell ref="I27:J27"/>
    <mergeCell ref="A3:E3"/>
    <mergeCell ref="A4:E4"/>
    <mergeCell ref="A5:E5"/>
    <mergeCell ref="I25:J25"/>
    <mergeCell ref="K12:K13"/>
    <mergeCell ref="I9:L9"/>
    <mergeCell ref="H8:H9"/>
    <mergeCell ref="I12:J12"/>
    <mergeCell ref="L12:L13"/>
    <mergeCell ref="I8:L8"/>
  </mergeCells>
  <phoneticPr fontId="0" type="noConversion"/>
  <printOptions horizontalCentered="1"/>
  <pageMargins left="1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I56"/>
  <sheetViews>
    <sheetView view="pageBreakPreview" zoomScale="80" zoomScaleNormal="100" zoomScaleSheetLayoutView="80" workbookViewId="0">
      <selection activeCell="B12" sqref="B12"/>
    </sheetView>
  </sheetViews>
  <sheetFormatPr defaultColWidth="9" defaultRowHeight="12"/>
  <cols>
    <col min="1" max="1" width="6.875" style="37" customWidth="1"/>
    <col min="2" max="2" width="35.625" style="37" customWidth="1"/>
    <col min="3" max="3" width="24.125" style="37" customWidth="1"/>
    <col min="4" max="4" width="14" style="37" bestFit="1" customWidth="1"/>
    <col min="5" max="5" width="9" style="37"/>
    <col min="6" max="6" width="7" style="37" customWidth="1"/>
    <col min="7" max="7" width="30.375" style="37" customWidth="1"/>
    <col min="8" max="8" width="17.75" style="37" customWidth="1"/>
    <col min="9" max="11" width="13.125" style="37" customWidth="1"/>
    <col min="12" max="12" width="9" style="37"/>
    <col min="13" max="13" width="6.75" style="37" customWidth="1"/>
    <col min="14" max="14" width="34.625" style="37" customWidth="1"/>
    <col min="15" max="15" width="14" style="37" customWidth="1"/>
    <col min="16" max="16" width="13.125" style="37" customWidth="1"/>
    <col min="17" max="17" width="12.625" style="37" customWidth="1"/>
    <col min="18" max="20" width="13.125" style="37" customWidth="1"/>
    <col min="21" max="21" width="9" style="37"/>
    <col min="22" max="22" width="6.875" style="37" customWidth="1"/>
    <col min="23" max="23" width="27.625" style="37" customWidth="1"/>
    <col min="24" max="24" width="11.625" style="37" customWidth="1"/>
    <col min="25" max="25" width="9.625" style="37" customWidth="1"/>
    <col min="26" max="26" width="11.125" style="37" customWidth="1"/>
    <col min="27" max="28" width="10.625" style="37" customWidth="1"/>
    <col min="29" max="29" width="9" style="37"/>
    <col min="30" max="30" width="6.375" style="37" customWidth="1"/>
    <col min="31" max="31" width="38.375" style="37" customWidth="1"/>
    <col min="32" max="32" width="18.75" style="37" customWidth="1"/>
    <col min="33" max="35" width="11.25" style="37" customWidth="1"/>
    <col min="36" max="36" width="9" style="37"/>
    <col min="37" max="37" width="28.875" style="37" customWidth="1"/>
    <col min="38" max="38" width="18.875" style="37" customWidth="1"/>
    <col min="39" max="39" width="12.125" style="37" customWidth="1"/>
    <col min="40" max="40" width="11.75" style="37" customWidth="1"/>
    <col min="41" max="41" width="11.875" style="37" customWidth="1"/>
    <col min="42" max="42" width="10.125" style="37" customWidth="1"/>
    <col min="43" max="43" width="10.625" style="37" customWidth="1"/>
    <col min="44" max="44" width="9" style="37"/>
    <col min="45" max="45" width="7.125" style="37" customWidth="1"/>
    <col min="46" max="46" width="29.625" style="37" customWidth="1"/>
    <col min="47" max="47" width="8.25" style="37" customWidth="1"/>
    <col min="48" max="48" width="13.25" style="37" customWidth="1"/>
    <col min="49" max="49" width="10.625" style="37" customWidth="1"/>
    <col min="50" max="50" width="9.75" style="37" customWidth="1"/>
    <col min="51" max="51" width="10.875" style="37" customWidth="1"/>
    <col min="52" max="53" width="10.375" style="37" customWidth="1"/>
    <col min="54" max="54" width="9" style="37"/>
    <col min="55" max="55" width="6.625" style="37" customWidth="1"/>
    <col min="56" max="56" width="15" style="37" customWidth="1"/>
    <col min="57" max="57" width="7.375" style="37" customWidth="1"/>
    <col min="58" max="58" width="12.875" style="37" customWidth="1"/>
    <col min="59" max="59" width="9.375" style="37" customWidth="1"/>
    <col min="60" max="60" width="7.375" style="37" customWidth="1"/>
    <col min="61" max="61" width="9.625" style="37" bestFit="1" customWidth="1"/>
    <col min="62" max="62" width="14" style="37" customWidth="1"/>
    <col min="63" max="63" width="9" style="37"/>
    <col min="64" max="64" width="6.625" style="37" customWidth="1"/>
    <col min="65" max="65" width="33.125" style="37" customWidth="1"/>
    <col min="66" max="66" width="7.375" style="37" customWidth="1"/>
    <col min="67" max="67" width="13" style="37" customWidth="1"/>
    <col min="68" max="68" width="11.125" style="37" customWidth="1"/>
    <col min="69" max="69" width="9" style="37"/>
    <col min="70" max="70" width="6.875" style="37" customWidth="1"/>
    <col min="71" max="71" width="28.375" style="37" customWidth="1"/>
    <col min="72" max="72" width="9" style="37"/>
    <col min="73" max="73" width="17.375" style="37" customWidth="1"/>
    <col min="74" max="74" width="11.375" style="37" customWidth="1"/>
    <col min="75" max="75" width="9" style="37"/>
    <col min="76" max="76" width="33.125" style="37" customWidth="1"/>
    <col min="77" max="77" width="11.625" style="37" customWidth="1"/>
    <col min="78" max="80" width="13.625" style="37" customWidth="1"/>
    <col min="81" max="81" width="7.375" style="37" customWidth="1"/>
    <col min="82" max="82" width="5.125" style="37" customWidth="1"/>
    <col min="83" max="83" width="43.75" style="37" customWidth="1"/>
    <col min="84" max="84" width="12.375" style="37" customWidth="1"/>
    <col min="85" max="85" width="9" style="37"/>
    <col min="86" max="86" width="12.125" style="37" customWidth="1"/>
    <col min="87" max="87" width="9" style="37"/>
    <col min="88" max="88" width="5.75" style="37" customWidth="1"/>
    <col min="89" max="89" width="36.625" style="37" customWidth="1"/>
    <col min="90" max="90" width="13.625" style="37" customWidth="1"/>
    <col min="91" max="91" width="12.25" style="37" customWidth="1"/>
    <col min="92" max="92" width="13.75" style="37" customWidth="1"/>
    <col min="93" max="93" width="9" style="37"/>
    <col min="94" max="94" width="7.125" style="37" customWidth="1"/>
    <col min="95" max="95" width="33.25" style="37" customWidth="1"/>
    <col min="96" max="96" width="11.75" style="37" customWidth="1"/>
    <col min="97" max="97" width="10.25" style="37" customWidth="1"/>
    <col min="98" max="98" width="6.75" style="37" customWidth="1"/>
    <col min="99" max="99" width="11.375" style="37" customWidth="1"/>
    <col min="100" max="100" width="9" style="37"/>
    <col min="101" max="101" width="4.125" style="37" customWidth="1"/>
    <col min="102" max="102" width="25.125" style="37" customWidth="1"/>
    <col min="103" max="103" width="17.375" style="37" customWidth="1"/>
    <col min="104" max="104" width="10.875" style="37" customWidth="1"/>
    <col min="105" max="105" width="11.375" style="37" customWidth="1"/>
    <col min="106" max="106" width="12.125" style="37" customWidth="1"/>
    <col min="107" max="107" width="9" style="37"/>
    <col min="108" max="108" width="5.25" style="37" customWidth="1"/>
    <col min="109" max="109" width="31.375" style="37" customWidth="1"/>
    <col min="110" max="110" width="19.625" style="37" customWidth="1"/>
    <col min="111" max="111" width="11.375" style="37" customWidth="1"/>
    <col min="112" max="16384" width="9" style="37"/>
  </cols>
  <sheetData>
    <row r="1" spans="1:35" ht="12.75">
      <c r="A1" s="53" t="s">
        <v>1103</v>
      </c>
      <c r="B1"/>
      <c r="C1" s="52"/>
      <c r="D1" s="18" t="s">
        <v>975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30" t="str">
        <f>INPUT!$B$2</f>
        <v>12 Months Ending 12/31/2018 (actuals) for 2019</v>
      </c>
      <c r="B2" s="54"/>
      <c r="C2" s="55"/>
      <c r="D2" s="18" t="s">
        <v>412</v>
      </c>
      <c r="E2" s="47"/>
    </row>
    <row r="3" spans="1:35" ht="12.75">
      <c r="A3" s="52"/>
      <c r="B3" s="54"/>
      <c r="C3" s="55"/>
      <c r="D3" s="56" t="s">
        <v>272</v>
      </c>
      <c r="E3" s="47"/>
      <c r="L3" s="47"/>
    </row>
    <row r="4" spans="1:35" ht="12.75">
      <c r="A4" s="52"/>
      <c r="B4" s="54"/>
      <c r="C4" s="54"/>
      <c r="D4" s="1" t="s">
        <v>57</v>
      </c>
      <c r="E4" s="47"/>
      <c r="L4" s="47"/>
      <c r="V4" s="3"/>
      <c r="AD4" s="3"/>
    </row>
    <row r="5" spans="1:35" ht="12.75">
      <c r="B5" s="54"/>
      <c r="C5" s="92" t="s">
        <v>372</v>
      </c>
      <c r="D5" s="1" t="s">
        <v>288</v>
      </c>
      <c r="E5" s="47"/>
      <c r="L5" s="47"/>
      <c r="V5" s="3"/>
      <c r="AD5" s="3"/>
    </row>
    <row r="6" spans="1:35" ht="12.75">
      <c r="A6" s="55"/>
      <c r="B6" s="55"/>
      <c r="C6" s="224">
        <v>-1</v>
      </c>
      <c r="D6" s="224">
        <v>-2</v>
      </c>
      <c r="L6" s="47"/>
      <c r="V6" s="3"/>
      <c r="AD6" s="3"/>
    </row>
    <row r="7" spans="1:35" ht="12.75">
      <c r="A7" s="57" t="s">
        <v>274</v>
      </c>
      <c r="B7" s="82" t="s">
        <v>587</v>
      </c>
      <c r="C7" s="54" t="s">
        <v>376</v>
      </c>
      <c r="D7" s="55">
        <f>INPUT!C377</f>
        <v>81906440.430000007</v>
      </c>
      <c r="E7" s="47"/>
      <c r="L7" s="47"/>
      <c r="V7" s="3"/>
      <c r="AD7" s="3"/>
    </row>
    <row r="8" spans="1:35" ht="12.75">
      <c r="A8" s="55"/>
      <c r="B8" s="30"/>
      <c r="C8" s="54"/>
      <c r="D8" s="55"/>
      <c r="E8" s="47"/>
      <c r="V8" s="3"/>
      <c r="AD8" s="3"/>
    </row>
    <row r="9" spans="1:35" ht="12.75">
      <c r="A9" s="57" t="s">
        <v>275</v>
      </c>
      <c r="B9" s="30" t="s">
        <v>422</v>
      </c>
      <c r="C9" s="93" t="s">
        <v>534</v>
      </c>
      <c r="D9" s="55">
        <f>INPUT!C378</f>
        <v>3316166220</v>
      </c>
      <c r="E9" s="47"/>
      <c r="V9" s="3"/>
      <c r="AD9" s="2"/>
    </row>
    <row r="10" spans="1:35" ht="12.75">
      <c r="A10" s="55"/>
      <c r="B10" s="30"/>
      <c r="C10" s="54"/>
      <c r="D10" s="58"/>
      <c r="E10" s="47"/>
      <c r="V10" s="3"/>
      <c r="AD10" s="2"/>
    </row>
    <row r="11" spans="1:35" ht="12.75">
      <c r="A11" s="57" t="s">
        <v>276</v>
      </c>
      <c r="B11" s="30" t="s">
        <v>277</v>
      </c>
      <c r="C11" s="93" t="s">
        <v>523</v>
      </c>
      <c r="D11" s="59">
        <f>D7/D9</f>
        <v>2.4699135989027718E-2</v>
      </c>
      <c r="E11" s="47"/>
      <c r="V11" s="2"/>
      <c r="AD11" s="2"/>
    </row>
    <row r="12" spans="1:35" ht="12.75">
      <c r="A12" s="55"/>
      <c r="B12" s="30"/>
      <c r="C12" s="54"/>
      <c r="D12" s="58"/>
      <c r="E12" s="47"/>
      <c r="V12" s="3"/>
      <c r="AD12" s="3"/>
    </row>
    <row r="13" spans="1:35" ht="12.75">
      <c r="A13" s="57" t="s">
        <v>278</v>
      </c>
      <c r="B13" s="30" t="s">
        <v>364</v>
      </c>
      <c r="C13" s="93" t="s">
        <v>592</v>
      </c>
      <c r="D13" s="55">
        <f>INPUT!C379</f>
        <v>52714082</v>
      </c>
      <c r="E13" s="47"/>
      <c r="V13" s="2"/>
      <c r="AD13" s="3"/>
    </row>
    <row r="14" spans="1:35" ht="12.75">
      <c r="A14" s="55"/>
      <c r="B14" s="30"/>
      <c r="C14" s="54"/>
      <c r="D14" s="58"/>
      <c r="E14" s="47"/>
      <c r="V14" s="2"/>
      <c r="AD14" s="2"/>
    </row>
    <row r="15" spans="1:35" ht="12.75">
      <c r="A15" s="57" t="s">
        <v>269</v>
      </c>
      <c r="B15" s="30" t="s">
        <v>279</v>
      </c>
      <c r="C15" s="93" t="s">
        <v>524</v>
      </c>
      <c r="D15" s="60">
        <f>D11*D13</f>
        <v>1301992.2798547582</v>
      </c>
      <c r="E15" s="47"/>
      <c r="V15" s="2"/>
      <c r="AD15" s="2"/>
    </row>
    <row r="16" spans="1:35" ht="12.75">
      <c r="A16" s="55"/>
      <c r="B16" s="30"/>
      <c r="C16" s="54"/>
      <c r="D16" s="58"/>
      <c r="E16" s="47"/>
      <c r="V16" s="2"/>
      <c r="AD16" s="3"/>
    </row>
    <row r="17" spans="1:30" ht="12.75">
      <c r="A17" s="57" t="s">
        <v>270</v>
      </c>
      <c r="B17" s="82" t="s">
        <v>596</v>
      </c>
      <c r="C17" s="190" t="s">
        <v>383</v>
      </c>
      <c r="D17" s="55">
        <f>INPUT!C380</f>
        <v>1547598625</v>
      </c>
      <c r="E17" s="47"/>
      <c r="V17" s="2"/>
      <c r="AD17" s="2"/>
    </row>
    <row r="18" spans="1:30" ht="12.75">
      <c r="A18" s="55"/>
      <c r="B18" s="30"/>
      <c r="C18" s="54"/>
      <c r="D18" s="58"/>
      <c r="E18" s="47"/>
      <c r="V18" s="2"/>
      <c r="AD18" s="3"/>
    </row>
    <row r="19" spans="1:30" ht="12.75">
      <c r="A19" s="57" t="s">
        <v>271</v>
      </c>
      <c r="B19" s="30" t="s">
        <v>281</v>
      </c>
      <c r="C19" s="93" t="s">
        <v>525</v>
      </c>
      <c r="D19" s="59">
        <f>D7/D17</f>
        <v>5.2924859913209089E-2</v>
      </c>
      <c r="E19" s="184"/>
      <c r="V19" s="2"/>
      <c r="AD19" s="2"/>
    </row>
    <row r="20" spans="1:30" ht="12.75">
      <c r="A20" s="55"/>
      <c r="B20" s="30"/>
      <c r="C20" s="54"/>
      <c r="D20" s="58"/>
      <c r="E20" s="47"/>
      <c r="V20" s="2"/>
      <c r="AD20" s="3"/>
    </row>
    <row r="21" spans="1:30" ht="12.75">
      <c r="A21" s="57" t="s">
        <v>282</v>
      </c>
      <c r="B21" s="30" t="s">
        <v>283</v>
      </c>
      <c r="C21" s="93" t="s">
        <v>535</v>
      </c>
      <c r="D21" s="55">
        <f>INPUT!C381</f>
        <v>4459477.4000000004</v>
      </c>
      <c r="E21" s="47"/>
      <c r="V21" s="2"/>
      <c r="AD21" s="2"/>
    </row>
    <row r="22" spans="1:30" ht="12.75">
      <c r="A22" s="55"/>
      <c r="B22" s="30"/>
      <c r="C22" s="93" t="s">
        <v>536</v>
      </c>
      <c r="D22" s="58"/>
      <c r="E22" s="47"/>
      <c r="V22" s="2"/>
      <c r="AD22" s="3"/>
    </row>
    <row r="23" spans="1:30" ht="12.75">
      <c r="A23" s="57" t="s">
        <v>284</v>
      </c>
      <c r="B23" s="30" t="s">
        <v>590</v>
      </c>
      <c r="C23" s="93" t="s">
        <v>526</v>
      </c>
      <c r="D23" s="60">
        <f>D19*D21</f>
        <v>236017.21668112191</v>
      </c>
      <c r="E23" s="47"/>
      <c r="V23" s="2"/>
      <c r="AD23" s="2"/>
    </row>
    <row r="24" spans="1:30" ht="12.75">
      <c r="E24" s="47"/>
      <c r="L24" s="47"/>
      <c r="V24" s="2"/>
      <c r="AD24" s="3"/>
    </row>
    <row r="25" spans="1:30" ht="12.75">
      <c r="E25" s="47"/>
      <c r="L25" s="47"/>
      <c r="V25" s="2"/>
      <c r="AD25" s="2"/>
    </row>
    <row r="26" spans="1:30" ht="12.75">
      <c r="A26" s="30" t="s">
        <v>398</v>
      </c>
      <c r="B26" s="4" t="s">
        <v>849</v>
      </c>
      <c r="E26" s="47"/>
      <c r="L26" s="47"/>
      <c r="V26" s="2"/>
      <c r="AD26" s="3"/>
    </row>
    <row r="27" spans="1:30" ht="12.75">
      <c r="A27" s="30" t="s">
        <v>400</v>
      </c>
      <c r="B27" s="4" t="s">
        <v>813</v>
      </c>
      <c r="E27" s="47"/>
      <c r="L27" s="47"/>
      <c r="V27" s="2"/>
      <c r="AD27" s="2"/>
    </row>
    <row r="28" spans="1:30" ht="12.75">
      <c r="E28" s="47"/>
      <c r="V28" s="2"/>
      <c r="AD28" s="3"/>
    </row>
    <row r="29" spans="1:30" ht="12.75">
      <c r="A29" s="2" t="s">
        <v>26</v>
      </c>
      <c r="B29" s="3"/>
      <c r="C29" s="3"/>
      <c r="D29" s="18" t="s">
        <v>975</v>
      </c>
      <c r="E29" s="47"/>
      <c r="V29" s="2"/>
      <c r="AD29" s="2"/>
    </row>
    <row r="30" spans="1:30" ht="12.75">
      <c r="A30" s="30" t="str">
        <f>INPUT!$B$2</f>
        <v>12 Months Ending 12/31/2018 (actuals) for 2019</v>
      </c>
      <c r="B30" s="3"/>
      <c r="C30" s="3"/>
      <c r="D30" s="18" t="s">
        <v>27</v>
      </c>
      <c r="V30" s="2"/>
      <c r="AD30" s="2"/>
    </row>
    <row r="31" spans="1:30" ht="12.75">
      <c r="B31" s="3"/>
      <c r="C31" s="3"/>
      <c r="D31" s="3"/>
      <c r="V31" s="2"/>
      <c r="AD31" s="3"/>
    </row>
    <row r="32" spans="1:30" ht="12.75">
      <c r="A32" s="3"/>
      <c r="B32" s="3"/>
      <c r="C32" s="3"/>
      <c r="D32" s="3"/>
      <c r="V32" s="2"/>
      <c r="AD32" s="2"/>
    </row>
    <row r="33" spans="1:30" ht="12.75">
      <c r="A33" s="3"/>
      <c r="B33" s="3"/>
      <c r="C33" s="3"/>
      <c r="D33" s="1" t="s">
        <v>57</v>
      </c>
      <c r="V33" s="2"/>
      <c r="AD33" s="2"/>
    </row>
    <row r="34" spans="1:30" ht="12.75">
      <c r="A34" s="3"/>
      <c r="B34" s="3"/>
      <c r="C34" s="1" t="s">
        <v>372</v>
      </c>
      <c r="D34" s="1" t="s">
        <v>288</v>
      </c>
      <c r="V34" s="2"/>
      <c r="AD34" s="2"/>
    </row>
    <row r="35" spans="1:30" ht="12.75">
      <c r="A35" s="3"/>
      <c r="B35" s="3"/>
      <c r="C35" s="224">
        <v>-1</v>
      </c>
      <c r="D35" s="224">
        <v>-2</v>
      </c>
      <c r="V35" s="2"/>
      <c r="AD35" s="2"/>
    </row>
    <row r="36" spans="1:30" ht="12.75">
      <c r="A36" s="2" t="s">
        <v>373</v>
      </c>
      <c r="B36" s="2" t="s">
        <v>428</v>
      </c>
      <c r="C36" s="4" t="s">
        <v>840</v>
      </c>
      <c r="D36" s="38">
        <f>'B5'!E38</f>
        <v>232312057.28500199</v>
      </c>
      <c r="V36" s="2"/>
      <c r="AD36" s="3"/>
    </row>
    <row r="37" spans="1:30" ht="12.75">
      <c r="A37" s="3"/>
      <c r="B37" s="3"/>
      <c r="C37" s="3"/>
      <c r="D37" s="40"/>
      <c r="V37" s="3"/>
      <c r="AD37" s="2"/>
    </row>
    <row r="38" spans="1:30" ht="12.75">
      <c r="A38" s="2" t="s">
        <v>377</v>
      </c>
      <c r="B38" s="2" t="s">
        <v>107</v>
      </c>
      <c r="C38" s="4" t="s">
        <v>537</v>
      </c>
      <c r="D38" s="38">
        <f>'B11-B14'!AH31</f>
        <v>256754182.11718059</v>
      </c>
      <c r="V38" s="2"/>
      <c r="AD38" s="3"/>
    </row>
    <row r="39" spans="1:30" ht="12.75">
      <c r="A39" s="3"/>
      <c r="B39" s="3"/>
      <c r="C39" s="3"/>
      <c r="D39" s="40"/>
      <c r="V39" s="3"/>
      <c r="AD39" s="3"/>
    </row>
    <row r="40" spans="1:30" ht="12.75">
      <c r="A40" s="2" t="s">
        <v>379</v>
      </c>
      <c r="B40" s="2" t="s">
        <v>120</v>
      </c>
      <c r="C40" s="4" t="s">
        <v>1037</v>
      </c>
      <c r="D40" s="38">
        <f>'B16'!D26</f>
        <v>210122648.99652714</v>
      </c>
      <c r="V40" s="3"/>
      <c r="AD40" s="3"/>
    </row>
    <row r="41" spans="1:30" ht="12.75">
      <c r="A41" s="3"/>
      <c r="B41" s="3"/>
      <c r="C41" s="3"/>
      <c r="D41" s="40"/>
      <c r="V41" s="2"/>
    </row>
    <row r="42" spans="1:30" ht="12.75">
      <c r="A42" s="2" t="s">
        <v>380</v>
      </c>
      <c r="B42" s="2" t="s">
        <v>134</v>
      </c>
      <c r="C42" s="4" t="s">
        <v>775</v>
      </c>
      <c r="D42" s="38">
        <f>'B17-B18'!F21</f>
        <v>68672353.420305744</v>
      </c>
      <c r="L42" s="47"/>
      <c r="M42" s="2"/>
      <c r="N42" s="2"/>
      <c r="V42" s="3"/>
    </row>
    <row r="43" spans="1:30" ht="12.75">
      <c r="A43" s="3"/>
      <c r="B43" s="3"/>
      <c r="C43" s="3"/>
      <c r="D43" s="40"/>
      <c r="L43" s="47"/>
      <c r="V43" s="2"/>
    </row>
    <row r="44" spans="1:30" ht="12.75">
      <c r="A44" s="2" t="s">
        <v>381</v>
      </c>
      <c r="B44" s="2" t="s">
        <v>153</v>
      </c>
      <c r="C44" s="4" t="s">
        <v>538</v>
      </c>
      <c r="D44" s="38">
        <f>'B17-B18'!L16</f>
        <v>50056242.221706793</v>
      </c>
      <c r="L44" s="47"/>
      <c r="V44" s="2"/>
    </row>
    <row r="45" spans="1:30" ht="12.75">
      <c r="A45" s="3"/>
      <c r="B45" s="3"/>
      <c r="C45" s="3"/>
      <c r="D45" s="40"/>
      <c r="L45" s="47"/>
      <c r="V45" s="3"/>
    </row>
    <row r="46" spans="1:30" ht="12.75">
      <c r="A46" s="4" t="s">
        <v>382</v>
      </c>
      <c r="B46" s="2" t="s">
        <v>964</v>
      </c>
      <c r="C46" s="2" t="s">
        <v>383</v>
      </c>
      <c r="D46" s="38">
        <f>+INPUT!C12</f>
        <v>9347009.5800000001</v>
      </c>
      <c r="V46" s="3"/>
    </row>
    <row r="47" spans="1:30" ht="12.75">
      <c r="A47" s="4"/>
      <c r="B47" s="2"/>
      <c r="C47" s="2"/>
      <c r="D47" s="38"/>
      <c r="V47" s="3"/>
    </row>
    <row r="48" spans="1:30" ht="12.75">
      <c r="A48" s="4" t="s">
        <v>271</v>
      </c>
      <c r="B48" s="2" t="s">
        <v>965</v>
      </c>
      <c r="C48" s="2" t="s">
        <v>385</v>
      </c>
      <c r="D48" s="38">
        <v>0</v>
      </c>
      <c r="V48" s="3"/>
    </row>
    <row r="49" spans="1:22" ht="12.75">
      <c r="A49" s="3"/>
      <c r="B49" s="2"/>
      <c r="C49" s="2"/>
      <c r="G49" s="37" t="s">
        <v>272</v>
      </c>
      <c r="V49" s="3"/>
    </row>
    <row r="50" spans="1:22" ht="12.75">
      <c r="A50" s="4" t="s">
        <v>386</v>
      </c>
      <c r="B50" s="2" t="s">
        <v>190</v>
      </c>
      <c r="C50" s="4" t="s">
        <v>966</v>
      </c>
      <c r="D50" s="38">
        <f>SUM(D36:D45)-(D46-D48)</f>
        <v>808570474.46072221</v>
      </c>
      <c r="V50" s="3"/>
    </row>
    <row r="51" spans="1:22" ht="12.75">
      <c r="A51" s="3"/>
      <c r="B51" s="3"/>
      <c r="C51" s="3"/>
      <c r="D51" s="3"/>
      <c r="V51" s="2"/>
    </row>
    <row r="52" spans="1:22" ht="12.75">
      <c r="A52" s="3"/>
      <c r="B52" s="3"/>
      <c r="C52" s="3"/>
      <c r="D52" s="3"/>
      <c r="V52" s="2"/>
    </row>
    <row r="53" spans="1:22" ht="12.75">
      <c r="A53" s="3" t="s">
        <v>398</v>
      </c>
      <c r="B53" s="3" t="s">
        <v>971</v>
      </c>
    </row>
    <row r="54" spans="1:22" ht="12.75">
      <c r="A54" s="3" t="s">
        <v>609</v>
      </c>
      <c r="B54" s="3" t="s">
        <v>972</v>
      </c>
      <c r="C54" s="3"/>
      <c r="D54" s="179"/>
      <c r="E54" s="179"/>
      <c r="F54" s="179"/>
      <c r="G54" s="179"/>
      <c r="H54" s="179"/>
      <c r="I54" s="179"/>
      <c r="J54" s="179"/>
    </row>
    <row r="55" spans="1:22" ht="12.75">
      <c r="A55" s="52"/>
      <c r="B55" s="3" t="s">
        <v>973</v>
      </c>
      <c r="C55" s="3"/>
      <c r="D55" s="179"/>
      <c r="E55" s="179"/>
      <c r="F55" s="179"/>
      <c r="G55" s="179"/>
      <c r="H55" s="179"/>
      <c r="I55" s="179"/>
      <c r="J55" s="179"/>
    </row>
    <row r="56" spans="1:22" ht="12.75">
      <c r="A56" s="3" t="s">
        <v>402</v>
      </c>
      <c r="B56" s="3" t="s">
        <v>974</v>
      </c>
    </row>
  </sheetData>
  <phoneticPr fontId="0" type="noConversion"/>
  <printOptions horizontalCentered="1"/>
  <pageMargins left="1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I45"/>
  <sheetViews>
    <sheetView zoomScaleNormal="100" workbookViewId="0">
      <selection activeCell="B12" sqref="B12"/>
    </sheetView>
  </sheetViews>
  <sheetFormatPr defaultColWidth="9" defaultRowHeight="12"/>
  <cols>
    <col min="1" max="1" width="5.875" style="37" customWidth="1"/>
    <col min="2" max="2" width="26.375" style="37" customWidth="1"/>
    <col min="3" max="3" width="18.75" style="37" customWidth="1"/>
    <col min="4" max="4" width="13.75" style="37" customWidth="1"/>
    <col min="5" max="6" width="12.375" style="37" customWidth="1"/>
    <col min="7" max="16384" width="9" style="37"/>
  </cols>
  <sheetData>
    <row r="1" spans="1:35" ht="12.75">
      <c r="A1" s="2" t="s">
        <v>28</v>
      </c>
      <c r="B1"/>
      <c r="C1" s="3"/>
      <c r="F1" s="18" t="s">
        <v>975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30" t="str">
        <f>INPUT!$B$2</f>
        <v>12 Months Ending 12/31/2018 (actuals) for 2019</v>
      </c>
      <c r="B2" s="3"/>
      <c r="C2" s="3"/>
      <c r="D2" s="3"/>
      <c r="E2" s="3"/>
      <c r="F2" s="18" t="s">
        <v>29</v>
      </c>
    </row>
    <row r="3" spans="1:35" ht="12.75">
      <c r="A3" s="3"/>
      <c r="B3" s="3"/>
      <c r="C3" s="3"/>
      <c r="D3" s="3"/>
      <c r="E3" s="3"/>
      <c r="F3" s="3"/>
    </row>
    <row r="4" spans="1:35" ht="12.75">
      <c r="A4" s="3"/>
      <c r="B4" s="3"/>
      <c r="C4" s="3"/>
      <c r="D4" s="3"/>
      <c r="E4" s="3"/>
      <c r="F4" s="3"/>
    </row>
    <row r="5" spans="1:35" ht="12.75">
      <c r="B5" s="3"/>
      <c r="C5" s="3"/>
      <c r="D5" s="3"/>
      <c r="E5" s="3"/>
      <c r="F5" s="3"/>
    </row>
    <row r="6" spans="1:35" ht="12.75">
      <c r="A6" s="3"/>
      <c r="B6" s="3"/>
      <c r="C6" s="3"/>
      <c r="D6" s="3"/>
      <c r="E6" s="3"/>
      <c r="F6" s="3"/>
    </row>
    <row r="7" spans="1:35" ht="12.75">
      <c r="A7" s="3"/>
      <c r="B7" s="3"/>
      <c r="C7" s="1" t="s">
        <v>372</v>
      </c>
      <c r="D7" s="5" t="s">
        <v>288</v>
      </c>
      <c r="E7" s="5" t="s">
        <v>63</v>
      </c>
      <c r="F7" s="5" t="s">
        <v>64</v>
      </c>
    </row>
    <row r="8" spans="1:35" ht="12.75">
      <c r="A8" s="2" t="s">
        <v>373</v>
      </c>
      <c r="B8" s="2" t="s">
        <v>90</v>
      </c>
      <c r="C8" s="3"/>
      <c r="D8" s="5" t="s">
        <v>374</v>
      </c>
      <c r="E8" s="5" t="s">
        <v>16</v>
      </c>
      <c r="F8" s="5" t="s">
        <v>17</v>
      </c>
    </row>
    <row r="9" spans="1:35" ht="12.75">
      <c r="A9" s="3"/>
      <c r="B9" s="3"/>
      <c r="C9" s="3"/>
      <c r="D9" s="3"/>
      <c r="E9" s="3"/>
      <c r="F9" s="3"/>
    </row>
    <row r="10" spans="1:35" ht="12.75">
      <c r="A10" s="2" t="s">
        <v>377</v>
      </c>
      <c r="B10" s="2" t="s">
        <v>108</v>
      </c>
      <c r="C10" s="2" t="s">
        <v>785</v>
      </c>
      <c r="D10" s="14">
        <f>'B6'!F16</f>
        <v>6680350151.7943354</v>
      </c>
      <c r="E10" s="14">
        <f>'B6'!G16</f>
        <v>6613743964.1233187</v>
      </c>
      <c r="F10" s="14">
        <f>'B6'!H16</f>
        <v>66606187.671017215</v>
      </c>
    </row>
    <row r="11" spans="1:35" ht="12.75">
      <c r="A11" s="2" t="s">
        <v>379</v>
      </c>
      <c r="B11" s="2" t="s">
        <v>112</v>
      </c>
      <c r="C11" s="2" t="s">
        <v>786</v>
      </c>
      <c r="D11" s="14">
        <f>'B6'!F29</f>
        <v>2540165407.7974153</v>
      </c>
      <c r="E11" s="14">
        <f>'B6'!G29</f>
        <v>2513019188.3413515</v>
      </c>
      <c r="F11" s="14">
        <f>'B6'!H29</f>
        <v>27146219.456064001</v>
      </c>
    </row>
    <row r="12" spans="1:35" ht="12.75">
      <c r="A12" s="2"/>
      <c r="B12" s="2"/>
      <c r="C12" s="2"/>
      <c r="D12" s="14"/>
      <c r="E12" s="14"/>
      <c r="F12" s="14"/>
    </row>
    <row r="13" spans="1:35" ht="12.75">
      <c r="A13" s="2" t="s">
        <v>380</v>
      </c>
      <c r="B13" s="2" t="s">
        <v>135</v>
      </c>
      <c r="C13" s="4" t="s">
        <v>493</v>
      </c>
      <c r="D13" s="14">
        <f>D10-D11</f>
        <v>4140184743.9969201</v>
      </c>
      <c r="E13" s="14">
        <f>E10-E11</f>
        <v>4100724775.7819672</v>
      </c>
      <c r="F13" s="14">
        <f>F10-F11</f>
        <v>39459968.214953214</v>
      </c>
    </row>
    <row r="14" spans="1:35" ht="12.75">
      <c r="A14" s="3"/>
      <c r="B14" s="3"/>
      <c r="C14" s="3"/>
      <c r="D14" s="3"/>
      <c r="E14" s="3"/>
      <c r="F14" s="3"/>
    </row>
    <row r="15" spans="1:35" ht="12.75">
      <c r="A15" s="2" t="s">
        <v>381</v>
      </c>
      <c r="B15" s="2" t="s">
        <v>121</v>
      </c>
      <c r="C15" s="2" t="s">
        <v>1042</v>
      </c>
      <c r="D15" s="14">
        <f>'B6'!F31</f>
        <v>1145519425.1800001</v>
      </c>
      <c r="E15" s="14">
        <f>'B6'!G31</f>
        <v>1120664232.6353199</v>
      </c>
      <c r="F15" s="14">
        <f>'B6'!H31</f>
        <v>24855192.544680037</v>
      </c>
    </row>
    <row r="16" spans="1:35" ht="12.75">
      <c r="A16" s="3"/>
      <c r="B16" s="2"/>
      <c r="C16" s="2"/>
      <c r="D16" s="14"/>
      <c r="E16" s="14"/>
      <c r="F16" s="14"/>
    </row>
    <row r="17" spans="1:6" ht="12.75">
      <c r="A17" s="2" t="s">
        <v>382</v>
      </c>
      <c r="B17" s="2" t="s">
        <v>154</v>
      </c>
      <c r="C17" s="2" t="s">
        <v>1067</v>
      </c>
      <c r="D17" s="51">
        <f>INPUT!C13</f>
        <v>428415</v>
      </c>
      <c r="E17" s="51">
        <f>INPUT!C14</f>
        <v>428415</v>
      </c>
      <c r="F17" s="51">
        <f>INPUT!C15</f>
        <v>0</v>
      </c>
    </row>
    <row r="18" spans="1:6" ht="12.75">
      <c r="A18" s="3"/>
      <c r="B18" s="3"/>
      <c r="C18" s="3"/>
      <c r="D18" s="3"/>
      <c r="E18" s="3"/>
      <c r="F18" s="3"/>
    </row>
    <row r="19" spans="1:6" ht="12.75">
      <c r="A19" s="4" t="s">
        <v>384</v>
      </c>
      <c r="B19" s="2" t="s">
        <v>187</v>
      </c>
      <c r="C19" s="4" t="s">
        <v>841</v>
      </c>
      <c r="D19" s="14">
        <f>D13-D15+D17</f>
        <v>2995093733.8169203</v>
      </c>
      <c r="E19" s="14">
        <f>E13-E15+E17</f>
        <v>2980488958.1466475</v>
      </c>
      <c r="F19" s="14">
        <f>F13-F15+F17</f>
        <v>14604775.670273177</v>
      </c>
    </row>
    <row r="20" spans="1:6" ht="12.75">
      <c r="A20" s="2" t="s">
        <v>272</v>
      </c>
      <c r="B20" s="3"/>
      <c r="C20" s="3"/>
      <c r="D20" s="3"/>
      <c r="E20" s="3"/>
      <c r="F20" s="3"/>
    </row>
    <row r="21" spans="1:6" ht="12.75">
      <c r="A21" s="2" t="s">
        <v>272</v>
      </c>
      <c r="B21" s="2" t="s">
        <v>195</v>
      </c>
      <c r="C21" s="3"/>
      <c r="D21" s="3"/>
      <c r="E21" s="3"/>
      <c r="F21" s="3"/>
    </row>
    <row r="22" spans="1:6" ht="12.75">
      <c r="A22" s="2" t="s">
        <v>272</v>
      </c>
      <c r="B22" s="3"/>
      <c r="C22" s="3"/>
      <c r="D22" s="3"/>
      <c r="E22" s="3"/>
      <c r="F22" s="3"/>
    </row>
    <row r="23" spans="1:6" ht="12.75">
      <c r="A23" s="4" t="s">
        <v>386</v>
      </c>
      <c r="B23" s="2" t="s">
        <v>311</v>
      </c>
      <c r="C23" s="3"/>
      <c r="D23" s="3"/>
      <c r="E23" s="3"/>
      <c r="F23" s="3"/>
    </row>
    <row r="24" spans="1:6" ht="12.75">
      <c r="A24" s="4" t="s">
        <v>389</v>
      </c>
      <c r="B24" s="2" t="s">
        <v>207</v>
      </c>
      <c r="C24" s="4" t="s">
        <v>787</v>
      </c>
      <c r="D24" s="14">
        <f>'B8-B10'!K9</f>
        <v>61269170</v>
      </c>
      <c r="E24" s="14">
        <f>'B8-B10'!L9</f>
        <v>0</v>
      </c>
      <c r="F24" s="14">
        <f>'B8-B10'!M9</f>
        <v>61269170</v>
      </c>
    </row>
    <row r="25" spans="1:6" ht="12.75">
      <c r="A25" s="4" t="s">
        <v>391</v>
      </c>
      <c r="B25" s="2" t="s">
        <v>213</v>
      </c>
      <c r="C25" s="4" t="s">
        <v>788</v>
      </c>
      <c r="D25" s="14">
        <f>'B8-B10'!K18</f>
        <v>72448059</v>
      </c>
      <c r="E25" s="14">
        <f>'B8-B10'!L18</f>
        <v>72448059</v>
      </c>
      <c r="F25" s="14">
        <f>'B8-B10'!M18</f>
        <v>0</v>
      </c>
    </row>
    <row r="26" spans="1:6" ht="12.75">
      <c r="A26" s="4" t="s">
        <v>393</v>
      </c>
      <c r="B26" s="2" t="s">
        <v>219</v>
      </c>
      <c r="C26" s="2" t="s">
        <v>214</v>
      </c>
      <c r="D26" s="14">
        <f>D24+D25</f>
        <v>133717229</v>
      </c>
      <c r="E26" s="14">
        <f>E24+E25</f>
        <v>72448059</v>
      </c>
      <c r="F26" s="14">
        <f>F24+F25</f>
        <v>61269170</v>
      </c>
    </row>
    <row r="27" spans="1:6" ht="12.75">
      <c r="A27" s="2" t="s">
        <v>272</v>
      </c>
      <c r="B27" s="3"/>
      <c r="C27" s="3"/>
      <c r="D27" s="3"/>
      <c r="E27" s="3"/>
      <c r="F27" s="3"/>
    </row>
    <row r="28" spans="1:6" ht="12.75">
      <c r="A28" s="4" t="s">
        <v>394</v>
      </c>
      <c r="B28" s="4" t="s">
        <v>842</v>
      </c>
      <c r="C28" s="3"/>
      <c r="D28" s="3">
        <f>INPUT!$C$18*'B6'!F20</f>
        <v>6993736.3058049195</v>
      </c>
      <c r="E28" s="3">
        <f>INPUT!$C$18*'B6'!G20</f>
        <v>6924005.5130908228</v>
      </c>
      <c r="F28" s="3">
        <f>INPUT!$C$18*'B6'!H20</f>
        <v>69730.792714096911</v>
      </c>
    </row>
    <row r="29" spans="1:6" ht="12.75">
      <c r="A29" s="4" t="s">
        <v>395</v>
      </c>
      <c r="B29" s="4" t="s">
        <v>843</v>
      </c>
      <c r="C29" s="3"/>
      <c r="D29" s="3">
        <f>INPUT!C19*'B7'!F53</f>
        <v>0</v>
      </c>
      <c r="E29" s="3">
        <f>D29*INPUT!C78</f>
        <v>0</v>
      </c>
      <c r="F29" s="3">
        <f>D29*INPUT!C79</f>
        <v>0</v>
      </c>
    </row>
    <row r="30" spans="1:6" ht="12.75">
      <c r="A30" s="4" t="s">
        <v>399</v>
      </c>
      <c r="B30" s="4" t="s">
        <v>844</v>
      </c>
      <c r="C30" s="2" t="s">
        <v>869</v>
      </c>
      <c r="D30" s="14">
        <f>SUM(D28:D29)</f>
        <v>6993736.3058049195</v>
      </c>
      <c r="E30" s="14">
        <f>SUM(E28:E29)</f>
        <v>6924005.5130908228</v>
      </c>
      <c r="F30" s="14">
        <f>SUM(F28:F29)</f>
        <v>69730.792714096911</v>
      </c>
    </row>
    <row r="31" spans="1:6" ht="12.75">
      <c r="A31" s="2" t="s">
        <v>272</v>
      </c>
      <c r="B31" s="3"/>
      <c r="C31" s="3"/>
      <c r="D31" s="42"/>
      <c r="E31" s="3"/>
      <c r="F31" s="3"/>
    </row>
    <row r="32" spans="1:6" ht="12.75">
      <c r="A32" s="4" t="s">
        <v>401</v>
      </c>
      <c r="B32" s="4" t="s">
        <v>425</v>
      </c>
      <c r="C32" s="4" t="s">
        <v>1043</v>
      </c>
      <c r="D32" s="14">
        <f>'B8-B10'!C20</f>
        <v>37181380.524158597</v>
      </c>
      <c r="E32" s="14">
        <f>'B8-B10'!D20</f>
        <v>25427192.987562433</v>
      </c>
      <c r="F32" s="14">
        <f>'B8-B10'!E20</f>
        <v>11754187.536596159</v>
      </c>
    </row>
    <row r="33" spans="1:6" ht="12.75">
      <c r="A33" s="2" t="s">
        <v>272</v>
      </c>
      <c r="B33" s="3"/>
      <c r="C33" s="3"/>
      <c r="D33" s="3"/>
      <c r="E33" s="3"/>
      <c r="F33" s="3"/>
    </row>
    <row r="34" spans="1:6" ht="12.75">
      <c r="A34" s="4" t="s">
        <v>403</v>
      </c>
      <c r="B34" s="4" t="s">
        <v>426</v>
      </c>
      <c r="C34" s="4" t="s">
        <v>845</v>
      </c>
      <c r="D34" s="14">
        <f>D19+D26+D30+D32</f>
        <v>3172986079.6468835</v>
      </c>
      <c r="E34" s="14">
        <f>E19+E26+E30+E32</f>
        <v>3085288215.6473007</v>
      </c>
      <c r="F34" s="14">
        <f>F19+F26+F30+F32</f>
        <v>87697863.999583453</v>
      </c>
    </row>
    <row r="35" spans="1:6" ht="12.75">
      <c r="A35" s="2" t="s">
        <v>272</v>
      </c>
      <c r="B35" s="3"/>
      <c r="C35" s="3"/>
      <c r="D35" s="3"/>
      <c r="E35" s="3"/>
      <c r="F35" s="3"/>
    </row>
    <row r="36" spans="1:6" ht="12.75">
      <c r="A36" s="4" t="s">
        <v>405</v>
      </c>
      <c r="B36" s="4" t="s">
        <v>427</v>
      </c>
      <c r="C36" s="4" t="s">
        <v>539</v>
      </c>
      <c r="D36" s="45">
        <f>'B11-B14'!$H$17</f>
        <v>7.5296711699999991E-2</v>
      </c>
      <c r="E36" s="45">
        <f>'B11-B14'!$H$17</f>
        <v>7.5296711699999991E-2</v>
      </c>
      <c r="F36" s="45">
        <f>'B11-B14'!$H$17</f>
        <v>7.5296711699999991E-2</v>
      </c>
    </row>
    <row r="37" spans="1:6" ht="12.75">
      <c r="A37" s="2" t="s">
        <v>272</v>
      </c>
      <c r="B37" s="3"/>
      <c r="C37" s="3"/>
      <c r="D37" s="3"/>
      <c r="E37" s="3"/>
      <c r="F37" s="3"/>
    </row>
    <row r="38" spans="1:6" ht="12.75">
      <c r="A38" s="4" t="s">
        <v>406</v>
      </c>
      <c r="B38" s="4" t="s">
        <v>428</v>
      </c>
      <c r="C38" s="2" t="s">
        <v>846</v>
      </c>
      <c r="D38" s="14">
        <f>ROUND(+D36*D34,10)</f>
        <v>238915418.067285</v>
      </c>
      <c r="E38" s="14">
        <f>ROUND(+E36*E34,10)</f>
        <v>232312057.28500199</v>
      </c>
      <c r="F38" s="14">
        <f>ROUND(+F36*F34,10)</f>
        <v>6603360.78228244</v>
      </c>
    </row>
    <row r="39" spans="1:6" ht="12.75">
      <c r="A39" s="3"/>
      <c r="B39" s="3"/>
      <c r="C39" s="3"/>
      <c r="D39" s="3"/>
      <c r="E39" s="3"/>
      <c r="F39" s="3"/>
    </row>
    <row r="40" spans="1:6" ht="12.75">
      <c r="A40" s="3"/>
      <c r="B40" s="3"/>
      <c r="C40" s="3"/>
      <c r="D40" s="3"/>
      <c r="E40" s="3"/>
      <c r="F40" s="3"/>
    </row>
    <row r="41" spans="1:6" ht="12.75">
      <c r="A41" s="2" t="s">
        <v>398</v>
      </c>
      <c r="B41" s="2" t="s">
        <v>790</v>
      </c>
      <c r="C41" s="3"/>
      <c r="D41" s="3"/>
      <c r="E41" s="3"/>
      <c r="F41" s="3"/>
    </row>
    <row r="42" spans="1:6" ht="12.75">
      <c r="A42" s="3"/>
      <c r="B42" s="3"/>
      <c r="C42" s="3"/>
      <c r="D42" s="3"/>
      <c r="E42" s="3"/>
      <c r="F42" s="3"/>
    </row>
    <row r="43" spans="1:6" ht="12.75">
      <c r="A43" s="4" t="s">
        <v>400</v>
      </c>
      <c r="B43" s="4" t="s">
        <v>789</v>
      </c>
    </row>
    <row r="44" spans="1:6" ht="12.75">
      <c r="B44" s="4" t="s">
        <v>850</v>
      </c>
    </row>
    <row r="45" spans="1:6" ht="12.75">
      <c r="B45" s="4" t="s">
        <v>1091</v>
      </c>
    </row>
  </sheetData>
  <phoneticPr fontId="15" type="noConversion"/>
  <printOptions horizontalCentered="1"/>
  <pageMargins left="1" right="0.75" top="1" bottom="1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I56"/>
  <sheetViews>
    <sheetView view="pageBreakPreview" topLeftCell="A31" zoomScale="60" zoomScaleNormal="100" workbookViewId="0">
      <selection activeCell="B12" sqref="B12"/>
    </sheetView>
  </sheetViews>
  <sheetFormatPr defaultColWidth="9" defaultRowHeight="12"/>
  <cols>
    <col min="1" max="1" width="6.75" style="37" customWidth="1"/>
    <col min="2" max="2" width="32.875" style="37" customWidth="1"/>
    <col min="3" max="3" width="12.125" style="37" customWidth="1"/>
    <col min="4" max="4" width="17.625" style="37" customWidth="1"/>
    <col min="5" max="5" width="12" style="37" customWidth="1"/>
    <col min="6" max="6" width="16.375" style="37" customWidth="1"/>
    <col min="7" max="7" width="17.75" style="37" customWidth="1"/>
    <col min="8" max="8" width="15.875" style="37" customWidth="1"/>
    <col min="9" max="16384" width="9" style="37"/>
  </cols>
  <sheetData>
    <row r="1" spans="1:35" ht="12.75">
      <c r="A1" s="4" t="s">
        <v>36</v>
      </c>
      <c r="B1"/>
      <c r="C1" s="3"/>
      <c r="G1" s="3"/>
      <c r="H1" s="41" t="s">
        <v>975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4" t="s">
        <v>688</v>
      </c>
      <c r="B2" s="3"/>
      <c r="C2" s="3"/>
      <c r="D2" s="3"/>
      <c r="E2" s="3"/>
      <c r="F2" s="3"/>
      <c r="G2" s="3"/>
      <c r="H2" s="24" t="s">
        <v>465</v>
      </c>
    </row>
    <row r="3" spans="1:35" ht="12.75">
      <c r="A3" s="30" t="str">
        <f>INPUT!$B$2</f>
        <v>12 Months Ending 12/31/2018 (actuals) for 2019</v>
      </c>
      <c r="B3" s="3"/>
      <c r="C3" s="3"/>
      <c r="D3" s="3"/>
      <c r="E3" s="3"/>
      <c r="F3" s="3"/>
      <c r="G3" s="3"/>
    </row>
    <row r="4" spans="1:35" ht="12.75">
      <c r="A4" s="3"/>
      <c r="B4" s="3"/>
      <c r="C4" s="3"/>
      <c r="D4" s="3"/>
      <c r="E4" s="3"/>
      <c r="F4" s="3"/>
      <c r="H4" s="3"/>
    </row>
    <row r="5" spans="1:35" ht="12.75">
      <c r="B5" s="3"/>
      <c r="C5" s="3"/>
      <c r="D5" s="3"/>
      <c r="E5" s="3"/>
      <c r="F5" s="50"/>
      <c r="G5" s="23"/>
      <c r="H5" s="23"/>
    </row>
    <row r="6" spans="1:35" ht="12.75">
      <c r="A6" s="3"/>
      <c r="B6" s="3"/>
      <c r="C6" s="85" t="s">
        <v>61</v>
      </c>
      <c r="D6" s="86"/>
      <c r="E6" s="3"/>
      <c r="F6" s="85" t="s">
        <v>57</v>
      </c>
      <c r="G6" s="79"/>
      <c r="H6" s="86"/>
    </row>
    <row r="7" spans="1:35" ht="12.75">
      <c r="A7" s="3"/>
      <c r="B7" s="3"/>
      <c r="C7" s="87" t="s">
        <v>372</v>
      </c>
      <c r="D7" s="88" t="s">
        <v>288</v>
      </c>
      <c r="E7" s="1" t="s">
        <v>372</v>
      </c>
      <c r="F7" s="87" t="s">
        <v>288</v>
      </c>
      <c r="G7" s="89" t="s">
        <v>63</v>
      </c>
      <c r="H7" s="88" t="s">
        <v>64</v>
      </c>
    </row>
    <row r="8" spans="1:35" ht="12.75">
      <c r="A8" s="3"/>
      <c r="B8" s="3"/>
      <c r="C8" s="105"/>
      <c r="D8" s="119" t="s">
        <v>374</v>
      </c>
      <c r="E8" s="3"/>
      <c r="F8" s="122" t="s">
        <v>16</v>
      </c>
      <c r="G8" s="123" t="s">
        <v>17</v>
      </c>
      <c r="H8" s="119" t="s">
        <v>76</v>
      </c>
    </row>
    <row r="9" spans="1:35" ht="12.75">
      <c r="A9" s="2" t="s">
        <v>373</v>
      </c>
      <c r="B9" s="2" t="s">
        <v>91</v>
      </c>
      <c r="C9" s="106"/>
      <c r="D9" s="120"/>
      <c r="E9" s="3"/>
      <c r="F9" s="106"/>
      <c r="G9" s="54"/>
      <c r="H9" s="120"/>
    </row>
    <row r="10" spans="1:35" ht="12.75">
      <c r="A10" s="3"/>
      <c r="B10" s="3"/>
      <c r="C10" s="106"/>
      <c r="D10" s="120"/>
      <c r="E10" s="3"/>
      <c r="F10" s="106"/>
      <c r="G10" s="54"/>
      <c r="H10" s="120"/>
    </row>
    <row r="11" spans="1:35" ht="12.75">
      <c r="A11" s="2" t="s">
        <v>377</v>
      </c>
      <c r="B11" s="4" t="s">
        <v>658</v>
      </c>
      <c r="C11" s="116" t="s">
        <v>272</v>
      </c>
      <c r="D11" s="120"/>
      <c r="E11" s="3"/>
      <c r="F11" s="106"/>
      <c r="G11" s="54"/>
      <c r="H11" s="120"/>
    </row>
    <row r="12" spans="1:35" ht="12.75">
      <c r="A12" s="3"/>
      <c r="B12" s="3"/>
      <c r="C12" s="116" t="s">
        <v>1038</v>
      </c>
      <c r="D12" s="81">
        <f>INPUT!C20</f>
        <v>14114381924.82</v>
      </c>
      <c r="E12" s="2" t="s">
        <v>958</v>
      </c>
      <c r="F12" s="124">
        <f>INPUT!C21+'B3-B4'!D7</f>
        <v>6453913155.4300003</v>
      </c>
      <c r="G12" s="30">
        <f>INPUT!C22+'B3-B4'!D7</f>
        <v>6453913155.4300003</v>
      </c>
      <c r="H12" s="81">
        <f>INPUT!C23</f>
        <v>0</v>
      </c>
    </row>
    <row r="13" spans="1:35" ht="12.75">
      <c r="A13" s="2" t="s">
        <v>379</v>
      </c>
      <c r="B13" s="4" t="s">
        <v>533</v>
      </c>
      <c r="C13" s="106"/>
      <c r="D13" s="120"/>
      <c r="F13" s="106"/>
      <c r="G13" s="54"/>
      <c r="H13" s="120"/>
    </row>
    <row r="14" spans="1:35" ht="12.75">
      <c r="A14" s="3"/>
      <c r="B14" s="3"/>
      <c r="C14" s="106"/>
      <c r="D14" s="120"/>
      <c r="E14" s="4" t="s">
        <v>1092</v>
      </c>
      <c r="F14" s="124">
        <f>'B7'!D40</f>
        <v>226436996.36433542</v>
      </c>
      <c r="G14" s="30">
        <f>'B7'!E40</f>
        <v>159830808.69331819</v>
      </c>
      <c r="H14" s="81">
        <f>'B7'!F40</f>
        <v>66606187.671017215</v>
      </c>
    </row>
    <row r="15" spans="1:35" ht="12.75">
      <c r="A15" s="3"/>
      <c r="B15" s="3"/>
      <c r="C15" s="106"/>
      <c r="D15" s="120"/>
      <c r="E15" s="3"/>
      <c r="F15" s="106"/>
      <c r="G15" s="54"/>
      <c r="H15" s="120"/>
    </row>
    <row r="16" spans="1:35" ht="12.75">
      <c r="A16" s="2" t="s">
        <v>380</v>
      </c>
      <c r="B16" s="2" t="s">
        <v>77</v>
      </c>
      <c r="C16" s="116" t="s">
        <v>143</v>
      </c>
      <c r="D16" s="81">
        <f>D12+D13</f>
        <v>14114381924.82</v>
      </c>
      <c r="E16" s="3"/>
      <c r="F16" s="124">
        <f>F12+F14</f>
        <v>6680350151.7943354</v>
      </c>
      <c r="G16" s="30">
        <f>G12+G14</f>
        <v>6613743964.1233187</v>
      </c>
      <c r="H16" s="81">
        <f>H12+H14</f>
        <v>66606187.671017215</v>
      </c>
    </row>
    <row r="17" spans="1:8" ht="12.75">
      <c r="A17" s="3"/>
      <c r="B17" s="3"/>
      <c r="C17" s="106" t="s">
        <v>376</v>
      </c>
      <c r="D17" s="120"/>
      <c r="E17" s="3"/>
      <c r="F17" s="106"/>
      <c r="G17" s="154">
        <f>G16/F16</f>
        <v>0.99002953645279712</v>
      </c>
      <c r="H17" s="154">
        <f>H16/G16</f>
        <v>1.0070874837660299E-2</v>
      </c>
    </row>
    <row r="18" spans="1:8" ht="12.75">
      <c r="A18" s="2" t="s">
        <v>381</v>
      </c>
      <c r="B18" s="3"/>
      <c r="C18" s="106"/>
      <c r="D18" s="120"/>
      <c r="E18" s="4" t="s">
        <v>541</v>
      </c>
      <c r="F18" s="124">
        <f>F16</f>
        <v>6680350151.7943354</v>
      </c>
      <c r="G18" s="30">
        <f>G16</f>
        <v>6613743964.1233187</v>
      </c>
      <c r="H18" s="81">
        <f>H16</f>
        <v>66606187.671017215</v>
      </c>
    </row>
    <row r="19" spans="1:8" ht="12.75">
      <c r="A19" s="2" t="s">
        <v>382</v>
      </c>
      <c r="B19" s="3"/>
      <c r="C19" s="106"/>
      <c r="D19" s="120"/>
      <c r="E19" s="4" t="s">
        <v>540</v>
      </c>
      <c r="F19" s="124">
        <f>$D$16</f>
        <v>14114381924.82</v>
      </c>
      <c r="G19" s="30">
        <f>$D$16</f>
        <v>14114381924.82</v>
      </c>
      <c r="H19" s="81">
        <f>$D$16</f>
        <v>14114381924.82</v>
      </c>
    </row>
    <row r="20" spans="1:8" ht="12.75">
      <c r="A20" s="2" t="s">
        <v>384</v>
      </c>
      <c r="B20" s="3"/>
      <c r="C20" s="106"/>
      <c r="D20" s="117">
        <v>1</v>
      </c>
      <c r="E20" s="3" t="s">
        <v>791</v>
      </c>
      <c r="F20" s="125">
        <f>ROUND(+F18/F19,10)</f>
        <v>0.47330093429999998</v>
      </c>
      <c r="G20" s="126">
        <f>ROUND(+G18/$F$19,10)</f>
        <v>0.46858190459999999</v>
      </c>
      <c r="H20" s="117">
        <f>ROUND(+H18/$F$19,10)</f>
        <v>4.7190297000000003E-3</v>
      </c>
    </row>
    <row r="21" spans="1:8" ht="12.75">
      <c r="A21" s="3"/>
      <c r="B21" s="3"/>
      <c r="C21" s="106"/>
      <c r="D21" s="120"/>
      <c r="E21" s="3"/>
      <c r="F21" s="106"/>
      <c r="G21" s="54"/>
      <c r="H21" s="120"/>
    </row>
    <row r="22" spans="1:8" ht="12.75">
      <c r="A22" s="2" t="s">
        <v>386</v>
      </c>
      <c r="B22" s="2" t="s">
        <v>180</v>
      </c>
      <c r="C22" s="106"/>
      <c r="D22" s="120"/>
      <c r="E22" s="3"/>
      <c r="F22" s="106"/>
      <c r="G22" s="54"/>
      <c r="H22" s="120"/>
    </row>
    <row r="23" spans="1:8" ht="12.75">
      <c r="A23" s="3"/>
      <c r="B23" s="2" t="s">
        <v>188</v>
      </c>
      <c r="C23" s="106"/>
      <c r="D23" s="120"/>
      <c r="E23" s="3"/>
      <c r="F23" s="106"/>
      <c r="G23" s="54"/>
      <c r="H23" s="120"/>
    </row>
    <row r="24" spans="1:8" ht="12.75">
      <c r="A24" s="3"/>
      <c r="B24" s="3"/>
      <c r="C24" s="106"/>
      <c r="D24" s="120"/>
      <c r="E24" s="3"/>
      <c r="F24" s="106"/>
      <c r="G24" s="54"/>
      <c r="H24" s="120"/>
    </row>
    <row r="25" spans="1:8" ht="12.75">
      <c r="A25" s="2" t="s">
        <v>389</v>
      </c>
      <c r="B25" s="4" t="s">
        <v>273</v>
      </c>
      <c r="C25" s="106" t="s">
        <v>1039</v>
      </c>
      <c r="D25" s="81">
        <f>INPUT!C24</f>
        <v>4684288145.71</v>
      </c>
      <c r="E25" s="4" t="s">
        <v>959</v>
      </c>
      <c r="F25" s="124">
        <f>INPUT!C25+INPUT!C382</f>
        <v>2447878060.1700001</v>
      </c>
      <c r="G25" s="30">
        <f>ROUND(+$F$25*(G12/$F$12),10)</f>
        <v>2447878060.1700001</v>
      </c>
      <c r="H25" s="81">
        <f>ROUND(+$F$25*(H12/$F$12),10)</f>
        <v>0</v>
      </c>
    </row>
    <row r="26" spans="1:8" ht="12.75">
      <c r="A26" s="3"/>
      <c r="B26" s="3"/>
      <c r="C26" s="106"/>
      <c r="D26" s="120"/>
      <c r="E26" s="2"/>
      <c r="F26" s="106"/>
      <c r="G26" s="54"/>
      <c r="H26" s="120"/>
    </row>
    <row r="27" spans="1:8" ht="12.75">
      <c r="A27" s="2" t="s">
        <v>391</v>
      </c>
      <c r="B27" s="2" t="s">
        <v>122</v>
      </c>
      <c r="C27" s="106"/>
      <c r="D27" s="81">
        <f>INPUT!C26</f>
        <v>178811759.16000003</v>
      </c>
      <c r="E27" s="2" t="s">
        <v>383</v>
      </c>
      <c r="F27" s="124">
        <f>ROUND(+$D$27*'B7'!D42,10)</f>
        <v>92287347.627415404</v>
      </c>
      <c r="G27" s="30">
        <f>ROUND(+$D$27*'B7'!E42,10)</f>
        <v>65141128.171351403</v>
      </c>
      <c r="H27" s="81">
        <f>ROUND(+$D$27*'B7'!F42,10)</f>
        <v>27146219.456064001</v>
      </c>
    </row>
    <row r="28" spans="1:8" ht="12.75">
      <c r="A28" s="3"/>
      <c r="B28" s="3"/>
      <c r="C28" s="106"/>
      <c r="D28" s="120"/>
      <c r="E28" s="3"/>
      <c r="F28" s="106"/>
      <c r="G28" s="54"/>
      <c r="H28" s="120"/>
    </row>
    <row r="29" spans="1:8" ht="12.75">
      <c r="A29" s="200" t="s">
        <v>393</v>
      </c>
      <c r="B29" s="2" t="s">
        <v>77</v>
      </c>
      <c r="C29" s="118" t="s">
        <v>214</v>
      </c>
      <c r="D29" s="81"/>
      <c r="E29" s="2"/>
      <c r="F29" s="124">
        <f>SUM(F25:F28)</f>
        <v>2540165407.7974153</v>
      </c>
      <c r="G29" s="30">
        <f>SUM(G25:G28)</f>
        <v>2513019188.3413515</v>
      </c>
      <c r="H29" s="81">
        <f>SUM(H25:H28)</f>
        <v>27146219.456064001</v>
      </c>
    </row>
    <row r="30" spans="1:8" ht="12.75">
      <c r="B30" s="3"/>
      <c r="C30" s="106"/>
      <c r="D30" s="120"/>
      <c r="E30" s="3"/>
      <c r="F30" s="106"/>
      <c r="G30" s="54"/>
      <c r="H30" s="120"/>
    </row>
    <row r="31" spans="1:8" ht="12.75">
      <c r="A31" s="2" t="s">
        <v>394</v>
      </c>
      <c r="B31" s="4" t="s">
        <v>225</v>
      </c>
      <c r="C31" s="118" t="s">
        <v>211</v>
      </c>
      <c r="D31" s="81">
        <f>INPUT!C27</f>
        <v>2346175954.4800005</v>
      </c>
      <c r="E31" s="4" t="s">
        <v>852</v>
      </c>
      <c r="F31" s="124">
        <f>-B6a!D71</f>
        <v>1145519425.1800001</v>
      </c>
      <c r="G31" s="30">
        <f>-B6a!E71</f>
        <v>1120664232.6353199</v>
      </c>
      <c r="H31" s="81">
        <f>-B6a!F71</f>
        <v>24855192.544680037</v>
      </c>
    </row>
    <row r="32" spans="1:8" ht="12.75">
      <c r="A32" s="3"/>
      <c r="B32" s="3"/>
      <c r="C32" s="116"/>
      <c r="D32" s="120"/>
      <c r="E32" s="3"/>
      <c r="F32" s="106"/>
      <c r="G32" s="54"/>
      <c r="H32" s="120"/>
    </row>
    <row r="33" spans="1:8" ht="12.75">
      <c r="A33" s="3"/>
      <c r="B33" s="3"/>
      <c r="C33" s="116"/>
      <c r="D33" s="83"/>
      <c r="F33" s="127"/>
      <c r="G33" s="80"/>
      <c r="H33" s="83"/>
    </row>
    <row r="34" spans="1:8" ht="12.75">
      <c r="A34" s="3"/>
      <c r="B34" s="3"/>
      <c r="C34" s="116"/>
      <c r="D34" s="120"/>
      <c r="E34" s="3"/>
      <c r="F34" s="106"/>
      <c r="G34" s="54"/>
      <c r="H34" s="120"/>
    </row>
    <row r="35" spans="1:8" ht="12.75">
      <c r="A35" s="3"/>
      <c r="B35" s="3"/>
      <c r="C35" s="201"/>
      <c r="D35" s="121"/>
      <c r="E35" s="3"/>
      <c r="F35" s="107"/>
      <c r="G35" s="90"/>
      <c r="H35" s="121"/>
    </row>
    <row r="36" spans="1:8" ht="12.75">
      <c r="A36" s="2" t="s">
        <v>398</v>
      </c>
      <c r="B36" s="4" t="s">
        <v>696</v>
      </c>
      <c r="C36" s="3"/>
      <c r="D36" s="3"/>
      <c r="E36" s="3"/>
      <c r="F36" s="3"/>
      <c r="G36" s="3"/>
      <c r="H36" s="3"/>
    </row>
    <row r="37" spans="1:8" ht="12.75">
      <c r="A37" s="2" t="s">
        <v>400</v>
      </c>
      <c r="B37" s="4" t="s">
        <v>1086</v>
      </c>
      <c r="C37" s="3"/>
      <c r="D37" s="3"/>
      <c r="E37" s="3"/>
      <c r="F37" s="3"/>
      <c r="G37" s="3"/>
      <c r="H37" s="3"/>
    </row>
    <row r="38" spans="1:8" ht="12.75">
      <c r="A38" s="4" t="s">
        <v>402</v>
      </c>
      <c r="B38" s="4" t="s">
        <v>695</v>
      </c>
      <c r="C38" s="3"/>
      <c r="D38" s="3"/>
      <c r="E38" s="3"/>
      <c r="F38" s="3"/>
      <c r="G38" s="3"/>
      <c r="H38" s="3"/>
    </row>
    <row r="39" spans="1:8" ht="12.75">
      <c r="A39" s="4" t="s">
        <v>404</v>
      </c>
      <c r="B39" s="4" t="s">
        <v>659</v>
      </c>
    </row>
    <row r="40" spans="1:8" ht="12.75">
      <c r="A40" s="4" t="s">
        <v>251</v>
      </c>
      <c r="B40" s="2" t="s">
        <v>851</v>
      </c>
      <c r="D40" s="14"/>
    </row>
    <row r="43" spans="1:8" ht="12.75">
      <c r="A43" s="205" t="s">
        <v>915</v>
      </c>
      <c r="B43" s="204"/>
      <c r="C43" s="204"/>
      <c r="D43" s="204"/>
      <c r="E43" s="204"/>
      <c r="F43" s="204"/>
      <c r="G43" s="204"/>
      <c r="H43" s="204"/>
    </row>
    <row r="44" spans="1:8" ht="12.75">
      <c r="A44" s="204"/>
      <c r="B44" s="204"/>
      <c r="C44" s="204" t="s">
        <v>61</v>
      </c>
      <c r="D44" s="204"/>
      <c r="E44" s="204"/>
      <c r="F44" s="204" t="s">
        <v>57</v>
      </c>
      <c r="G44" s="204"/>
      <c r="H44" s="204"/>
    </row>
    <row r="45" spans="1:8" ht="12.75">
      <c r="A45" s="204"/>
      <c r="B45" s="204"/>
      <c r="C45" s="204" t="s">
        <v>372</v>
      </c>
      <c r="D45" s="204" t="s">
        <v>288</v>
      </c>
      <c r="E45" s="204" t="s">
        <v>372</v>
      </c>
      <c r="F45" s="204" t="s">
        <v>288</v>
      </c>
      <c r="G45" s="204" t="s">
        <v>63</v>
      </c>
      <c r="H45" s="204" t="s">
        <v>64</v>
      </c>
    </row>
    <row r="46" spans="1:8" ht="12.75">
      <c r="A46" s="204"/>
      <c r="B46" s="204"/>
      <c r="C46" s="204"/>
      <c r="D46" s="210" t="s">
        <v>374</v>
      </c>
      <c r="E46" s="210"/>
      <c r="F46" s="210" t="s">
        <v>16</v>
      </c>
      <c r="G46" s="210" t="s">
        <v>17</v>
      </c>
      <c r="H46" s="210" t="s">
        <v>76</v>
      </c>
    </row>
    <row r="47" spans="1:8" ht="12.75">
      <c r="A47" s="204">
        <v>13</v>
      </c>
      <c r="B47" s="204" t="s">
        <v>870</v>
      </c>
      <c r="C47" s="204"/>
      <c r="D47" s="204"/>
      <c r="E47" s="204"/>
      <c r="F47" s="204"/>
      <c r="G47" s="204"/>
      <c r="H47" s="204"/>
    </row>
    <row r="48" spans="1:8" ht="12.75">
      <c r="A48" s="204"/>
      <c r="B48" s="204"/>
      <c r="C48" s="207"/>
      <c r="D48" s="208"/>
      <c r="E48" s="204"/>
      <c r="F48" s="204"/>
      <c r="G48" s="204"/>
      <c r="H48" s="204"/>
    </row>
    <row r="49" spans="1:8" ht="12.75">
      <c r="A49" s="204">
        <v>14</v>
      </c>
      <c r="B49" s="204" t="s">
        <v>658</v>
      </c>
      <c r="C49" s="204" t="s">
        <v>910</v>
      </c>
      <c r="D49" s="207">
        <f>INPUT!C20</f>
        <v>14114381924.82</v>
      </c>
      <c r="E49" s="204" t="s">
        <v>911</v>
      </c>
      <c r="F49" s="204">
        <v>6372006715</v>
      </c>
      <c r="G49" s="204">
        <f>+F49</f>
        <v>6372006715</v>
      </c>
      <c r="H49" s="204">
        <v>0</v>
      </c>
    </row>
    <row r="50" spans="1:8" ht="12.75">
      <c r="A50" s="204">
        <v>15</v>
      </c>
      <c r="B50" s="204" t="s">
        <v>914</v>
      </c>
      <c r="C50" s="203" t="s">
        <v>1046</v>
      </c>
      <c r="D50" s="204" t="s">
        <v>272</v>
      </c>
      <c r="E50" s="204"/>
      <c r="F50" s="209">
        <f>+'B3-B4'!D7</f>
        <v>81906440.430000007</v>
      </c>
      <c r="G50" s="209">
        <f>+'B3-B4'!D7</f>
        <v>81906440.430000007</v>
      </c>
      <c r="H50" s="209">
        <v>0</v>
      </c>
    </row>
    <row r="51" spans="1:8" ht="12.75">
      <c r="A51" s="204">
        <v>16</v>
      </c>
      <c r="B51" s="204" t="s">
        <v>658</v>
      </c>
      <c r="C51" s="203" t="s">
        <v>1047</v>
      </c>
      <c r="D51" s="204"/>
      <c r="E51" s="204"/>
      <c r="F51" s="204">
        <f>+F49+F50</f>
        <v>6453913155.4300003</v>
      </c>
      <c r="G51" s="204">
        <f>+G49+G50</f>
        <v>6453913155.4300003</v>
      </c>
      <c r="H51" s="204">
        <f>+H49+H50</f>
        <v>0</v>
      </c>
    </row>
    <row r="52" spans="1:8" ht="12.75">
      <c r="A52" s="204"/>
      <c r="B52" s="204"/>
      <c r="C52" s="204"/>
      <c r="D52" s="204"/>
      <c r="E52" s="204"/>
      <c r="F52" s="204"/>
      <c r="G52" s="204"/>
      <c r="H52" s="204"/>
    </row>
    <row r="53" spans="1:8" ht="12.75">
      <c r="A53" s="204">
        <v>17</v>
      </c>
      <c r="B53" s="204" t="s">
        <v>1075</v>
      </c>
      <c r="C53" s="204"/>
      <c r="D53" s="204"/>
      <c r="E53" s="204"/>
      <c r="F53" s="204"/>
      <c r="G53" s="204"/>
      <c r="H53" s="204"/>
    </row>
    <row r="54" spans="1:8" ht="12.75">
      <c r="A54" s="204">
        <v>18</v>
      </c>
      <c r="B54" s="204" t="s">
        <v>912</v>
      </c>
      <c r="C54" s="204" t="s">
        <v>1044</v>
      </c>
      <c r="D54" s="204">
        <f>INPUT!C24</f>
        <v>4684288145.71</v>
      </c>
      <c r="E54" s="204" t="s">
        <v>1044</v>
      </c>
      <c r="F54" s="204">
        <v>-2426536831.5700002</v>
      </c>
      <c r="G54" s="204">
        <f>+F54</f>
        <v>-2426536831.5700002</v>
      </c>
      <c r="H54" s="204">
        <v>0</v>
      </c>
    </row>
    <row r="55" spans="1:8" ht="12.75">
      <c r="A55" s="204">
        <v>19</v>
      </c>
      <c r="B55" s="204" t="s">
        <v>913</v>
      </c>
      <c r="C55" s="204" t="s">
        <v>871</v>
      </c>
      <c r="D55" s="204" t="s">
        <v>272</v>
      </c>
      <c r="E55" s="204" t="s">
        <v>272</v>
      </c>
      <c r="F55" s="209">
        <f>-+INPUT!C382</f>
        <v>-21341228.600000001</v>
      </c>
      <c r="G55" s="209">
        <f>-+INPUT!C382</f>
        <v>-21341228.600000001</v>
      </c>
      <c r="H55" s="209">
        <v>0</v>
      </c>
    </row>
    <row r="56" spans="1:8" ht="12.75">
      <c r="A56" s="204">
        <v>20</v>
      </c>
      <c r="B56" s="204" t="s">
        <v>1068</v>
      </c>
      <c r="C56" s="204" t="s">
        <v>1048</v>
      </c>
      <c r="D56" s="204"/>
      <c r="E56" s="204"/>
      <c r="F56" s="204">
        <f>+F54+F55</f>
        <v>-2447878060.1700001</v>
      </c>
      <c r="G56" s="204">
        <f>+G54+G55</f>
        <v>-2447878060.1700001</v>
      </c>
      <c r="H56" s="204">
        <f>+H54+H55</f>
        <v>0</v>
      </c>
    </row>
  </sheetData>
  <phoneticPr fontId="15" type="noConversion"/>
  <printOptions horizontalCentered="1"/>
  <pageMargins left="0.6" right="0.4" top="0.6" bottom="0.5" header="0.5" footer="0.62"/>
  <pageSetup scale="66" orientation="landscape" r:id="rId1"/>
  <headerFooter alignWithMargins="0"/>
  <rowBreaks count="1" manualBreakCount="1">
    <brk id="5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5"/>
  <sheetViews>
    <sheetView zoomScale="115" zoomScaleNormal="115" workbookViewId="0">
      <pane xSplit="3" ySplit="6" topLeftCell="D70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defaultColWidth="9" defaultRowHeight="12"/>
  <cols>
    <col min="1" max="1" width="5.625" style="3" customWidth="1"/>
    <col min="2" max="2" width="8" style="3" customWidth="1"/>
    <col min="3" max="3" width="24.375" style="3" bestFit="1" customWidth="1"/>
    <col min="4" max="8" width="14.625" style="3" customWidth="1"/>
    <col min="9" max="16384" width="9" style="3"/>
  </cols>
  <sheetData>
    <row r="1" spans="1:35" ht="12.75">
      <c r="A1" s="4" t="s">
        <v>687</v>
      </c>
      <c r="B1"/>
      <c r="H1" s="41" t="s">
        <v>975</v>
      </c>
      <c r="L1" s="41" t="s">
        <v>272</v>
      </c>
      <c r="W1" s="3" t="s">
        <v>272</v>
      </c>
      <c r="AC1" s="3" t="s">
        <v>272</v>
      </c>
      <c r="AH1" s="3" t="s">
        <v>272</v>
      </c>
      <c r="AI1" s="3" t="s">
        <v>272</v>
      </c>
    </row>
    <row r="2" spans="1:35">
      <c r="A2" s="30" t="str">
        <f>INPUT!$B$2</f>
        <v>12 Months Ending 12/31/2018 (actuals) for 2019</v>
      </c>
      <c r="H2" s="24" t="s">
        <v>532</v>
      </c>
    </row>
    <row r="3" spans="1:35">
      <c r="A3" s="30"/>
    </row>
    <row r="5" spans="1:35">
      <c r="E5" s="50"/>
      <c r="F5" s="131" t="s">
        <v>665</v>
      </c>
      <c r="G5" s="131" t="s">
        <v>665</v>
      </c>
    </row>
    <row r="6" spans="1:35">
      <c r="B6" s="131" t="s">
        <v>371</v>
      </c>
      <c r="C6" s="131" t="s">
        <v>287</v>
      </c>
      <c r="D6" s="131" t="s">
        <v>704</v>
      </c>
      <c r="E6" s="131" t="s">
        <v>666</v>
      </c>
      <c r="F6" s="131" t="s">
        <v>667</v>
      </c>
      <c r="G6" s="131" t="s">
        <v>705</v>
      </c>
      <c r="H6" s="131" t="s">
        <v>668</v>
      </c>
    </row>
    <row r="7" spans="1:35">
      <c r="A7" s="19">
        <v>1</v>
      </c>
      <c r="B7" s="132">
        <v>190</v>
      </c>
      <c r="C7" s="133" t="s">
        <v>669</v>
      </c>
      <c r="D7" s="134">
        <f>INPUT!C29</f>
        <v>121234238.81999998</v>
      </c>
      <c r="E7" s="134">
        <f>+D7</f>
        <v>121234238.81999998</v>
      </c>
      <c r="F7" s="134"/>
      <c r="G7" s="134"/>
      <c r="H7" s="134"/>
    </row>
    <row r="8" spans="1:35">
      <c r="A8" s="19">
        <v>2</v>
      </c>
      <c r="B8" s="132">
        <v>190</v>
      </c>
      <c r="C8" s="133" t="s">
        <v>670</v>
      </c>
      <c r="D8" s="134">
        <f>INPUT!C30</f>
        <v>7564026.2599999998</v>
      </c>
      <c r="E8" s="134"/>
      <c r="F8" s="134">
        <f>+D8</f>
        <v>7564026.2599999998</v>
      </c>
      <c r="G8" s="134"/>
      <c r="H8" s="134"/>
    </row>
    <row r="9" spans="1:35">
      <c r="A9" s="19">
        <v>3</v>
      </c>
      <c r="B9" s="132">
        <v>190</v>
      </c>
      <c r="C9" s="133" t="s">
        <v>707</v>
      </c>
      <c r="D9" s="134">
        <f>INPUT!C31</f>
        <v>52953208.990000002</v>
      </c>
      <c r="E9" s="134"/>
      <c r="F9" s="134"/>
      <c r="G9" s="134">
        <f>+D9</f>
        <v>52953208.990000002</v>
      </c>
      <c r="H9" s="134"/>
    </row>
    <row r="10" spans="1:35" ht="12.75" customHeight="1">
      <c r="A10" s="19">
        <v>4</v>
      </c>
      <c r="B10" s="132">
        <v>190</v>
      </c>
      <c r="C10" s="133" t="s">
        <v>583</v>
      </c>
      <c r="D10" s="134">
        <f>INPUT!C32</f>
        <v>2015661.54</v>
      </c>
      <c r="E10" s="134"/>
      <c r="F10" s="134"/>
      <c r="G10" s="134"/>
      <c r="H10" s="134">
        <f>+D10</f>
        <v>2015661.54</v>
      </c>
    </row>
    <row r="11" spans="1:35">
      <c r="A11" s="19">
        <v>5</v>
      </c>
      <c r="B11" s="132">
        <v>190</v>
      </c>
      <c r="C11" s="135" t="s">
        <v>77</v>
      </c>
      <c r="D11" s="136">
        <f>SUM(D7:D10)</f>
        <v>183767135.60999998</v>
      </c>
      <c r="E11" s="136">
        <f>SUM(E7:E10)</f>
        <v>121234238.81999998</v>
      </c>
      <c r="F11" s="136">
        <f>SUM(F7:F10)</f>
        <v>7564026.2599999998</v>
      </c>
      <c r="G11" s="136">
        <f>SUM(G7:G10)</f>
        <v>52953208.990000002</v>
      </c>
      <c r="H11" s="136">
        <f>SUM(H7:H10)</f>
        <v>2015661.54</v>
      </c>
    </row>
    <row r="12" spans="1:35">
      <c r="A12" s="19">
        <v>6</v>
      </c>
      <c r="B12" s="135"/>
      <c r="C12" s="133" t="s">
        <v>671</v>
      </c>
      <c r="D12" s="134"/>
      <c r="E12" s="137">
        <v>0</v>
      </c>
      <c r="F12" s="137">
        <v>1</v>
      </c>
      <c r="G12" s="137">
        <v>1</v>
      </c>
      <c r="H12" s="137">
        <v>1</v>
      </c>
    </row>
    <row r="13" spans="1:35">
      <c r="A13" s="19">
        <v>7</v>
      </c>
      <c r="B13" s="135"/>
      <c r="C13" s="133" t="s">
        <v>672</v>
      </c>
      <c r="D13" s="134"/>
      <c r="E13" s="134">
        <f>+E11*E12</f>
        <v>0</v>
      </c>
      <c r="F13" s="134">
        <f>+F11*F12</f>
        <v>7564026.2599999998</v>
      </c>
      <c r="G13" s="134">
        <f>+G11*G12</f>
        <v>52953208.990000002</v>
      </c>
      <c r="H13" s="134">
        <f>+H11*H12</f>
        <v>2015661.54</v>
      </c>
    </row>
    <row r="14" spans="1:35" ht="13.5" customHeight="1">
      <c r="A14" s="19"/>
      <c r="B14" s="135"/>
      <c r="C14" s="133"/>
      <c r="D14" s="134"/>
      <c r="E14" s="134"/>
      <c r="F14" s="134"/>
      <c r="G14" s="134"/>
      <c r="H14" s="134"/>
    </row>
    <row r="15" spans="1:35">
      <c r="A15" s="19">
        <v>8</v>
      </c>
      <c r="B15" s="135"/>
      <c r="C15" s="133" t="s">
        <v>673</v>
      </c>
      <c r="D15" s="134"/>
      <c r="E15" s="134"/>
      <c r="F15" s="134">
        <v>0</v>
      </c>
      <c r="G15" s="134">
        <f>G9</f>
        <v>52953208.990000002</v>
      </c>
      <c r="H15" s="134">
        <f>+H13*INPUT!C78</f>
        <v>1422756.966232931</v>
      </c>
    </row>
    <row r="16" spans="1:35">
      <c r="A16" s="19">
        <v>9</v>
      </c>
      <c r="B16" s="135"/>
      <c r="C16" s="133" t="s">
        <v>396</v>
      </c>
      <c r="D16" s="134"/>
      <c r="E16" s="134"/>
      <c r="F16" s="134">
        <f>+F13*1</f>
        <v>7564026.2599999998</v>
      </c>
      <c r="G16" s="134">
        <v>0</v>
      </c>
      <c r="H16" s="134">
        <f>+H13*INPUT!C79</f>
        <v>592904.57376706891</v>
      </c>
    </row>
    <row r="17" spans="1:8">
      <c r="A17" s="19">
        <v>10</v>
      </c>
      <c r="B17" s="135"/>
      <c r="C17" s="133" t="s">
        <v>272</v>
      </c>
      <c r="D17" s="134"/>
      <c r="E17" s="134"/>
      <c r="F17" s="135" t="s">
        <v>675</v>
      </c>
      <c r="G17" s="135" t="s">
        <v>675</v>
      </c>
      <c r="H17" s="134" t="s">
        <v>1093</v>
      </c>
    </row>
    <row r="18" spans="1:8">
      <c r="A18" s="19"/>
      <c r="B18" s="135"/>
      <c r="C18" s="135"/>
      <c r="D18" s="134"/>
      <c r="E18" s="134"/>
      <c r="F18" s="134"/>
      <c r="G18" s="134"/>
      <c r="H18" s="134"/>
    </row>
    <row r="19" spans="1:8">
      <c r="A19" s="19">
        <v>11</v>
      </c>
      <c r="B19" s="132">
        <v>281</v>
      </c>
      <c r="C19" s="133" t="s">
        <v>669</v>
      </c>
      <c r="D19" s="134"/>
      <c r="E19" s="134">
        <f>+D19</f>
        <v>0</v>
      </c>
      <c r="F19" s="134"/>
      <c r="G19" s="134"/>
      <c r="H19" s="134"/>
    </row>
    <row r="20" spans="1:8">
      <c r="A20" s="19">
        <v>12</v>
      </c>
      <c r="B20" s="132">
        <v>281</v>
      </c>
      <c r="C20" s="133" t="s">
        <v>670</v>
      </c>
      <c r="D20" s="134"/>
      <c r="E20" s="134"/>
      <c r="F20" s="134">
        <f>+D20</f>
        <v>0</v>
      </c>
      <c r="G20" s="134"/>
      <c r="H20" s="134"/>
    </row>
    <row r="21" spans="1:8">
      <c r="A21" s="19">
        <v>13</v>
      </c>
      <c r="B21" s="132">
        <v>281</v>
      </c>
      <c r="C21" s="133" t="s">
        <v>707</v>
      </c>
      <c r="D21" s="134">
        <f>-INPUT!C36</f>
        <v>-267868298</v>
      </c>
      <c r="E21" s="134"/>
      <c r="F21" s="134"/>
      <c r="G21" s="134">
        <f>+D21</f>
        <v>-267868298</v>
      </c>
      <c r="H21" s="134"/>
    </row>
    <row r="22" spans="1:8">
      <c r="A22" s="19">
        <v>14</v>
      </c>
      <c r="B22" s="132">
        <v>281</v>
      </c>
      <c r="C22" s="133" t="s">
        <v>583</v>
      </c>
      <c r="D22" s="134">
        <f>-INPUT!C28</f>
        <v>0</v>
      </c>
      <c r="E22" s="134"/>
      <c r="F22" s="134"/>
      <c r="G22" s="134"/>
      <c r="H22" s="134">
        <f>+D22</f>
        <v>0</v>
      </c>
    </row>
    <row r="23" spans="1:8">
      <c r="A23" s="19">
        <v>15</v>
      </c>
      <c r="B23" s="132">
        <v>281</v>
      </c>
      <c r="C23" s="135" t="s">
        <v>77</v>
      </c>
      <c r="D23" s="138">
        <f>SUM(D19:D22)</f>
        <v>-267868298</v>
      </c>
      <c r="E23" s="138">
        <f>SUM(E19:E22)</f>
        <v>0</v>
      </c>
      <c r="F23" s="138">
        <f>SUM(F19:F22)</f>
        <v>0</v>
      </c>
      <c r="G23" s="138">
        <f>SUM(G19:G22)</f>
        <v>-267868298</v>
      </c>
      <c r="H23" s="138">
        <f>SUM(H19:H22)</f>
        <v>0</v>
      </c>
    </row>
    <row r="24" spans="1:8">
      <c r="A24" s="19">
        <v>16</v>
      </c>
      <c r="C24" s="133" t="s">
        <v>671</v>
      </c>
      <c r="E24" s="137">
        <v>0</v>
      </c>
      <c r="F24" s="137">
        <v>1</v>
      </c>
      <c r="G24" s="137">
        <v>1</v>
      </c>
      <c r="H24" s="137">
        <v>1</v>
      </c>
    </row>
    <row r="25" spans="1:8">
      <c r="A25" s="19">
        <v>17</v>
      </c>
      <c r="C25" s="133" t="s">
        <v>672</v>
      </c>
      <c r="E25" s="151">
        <f>+E23*E24</f>
        <v>0</v>
      </c>
      <c r="F25" s="151">
        <f>+F23*F24</f>
        <v>0</v>
      </c>
      <c r="G25" s="151">
        <f>+G23*G24</f>
        <v>-267868298</v>
      </c>
      <c r="H25" s="151">
        <f>+H23*H24</f>
        <v>0</v>
      </c>
    </row>
    <row r="26" spans="1:8">
      <c r="A26" s="19"/>
      <c r="C26" s="133"/>
      <c r="E26" s="151"/>
      <c r="F26" s="151"/>
      <c r="G26" s="151"/>
      <c r="H26" s="151"/>
    </row>
    <row r="27" spans="1:8">
      <c r="A27" s="19">
        <v>18</v>
      </c>
      <c r="C27" s="133" t="s">
        <v>673</v>
      </c>
      <c r="E27" s="151"/>
      <c r="F27" s="151">
        <v>0</v>
      </c>
      <c r="G27" s="151">
        <f>G21</f>
        <v>-267868298</v>
      </c>
      <c r="H27" s="151">
        <f>+H25*INPUT!C64</f>
        <v>0</v>
      </c>
    </row>
    <row r="28" spans="1:8">
      <c r="A28" s="19">
        <v>19</v>
      </c>
      <c r="C28" s="133" t="s">
        <v>396</v>
      </c>
      <c r="E28" s="151"/>
      <c r="F28" s="151">
        <f>+F25*1</f>
        <v>0</v>
      </c>
      <c r="G28" s="151">
        <v>0</v>
      </c>
      <c r="H28" s="151">
        <f>+H25*INPUT!C65</f>
        <v>0</v>
      </c>
    </row>
    <row r="29" spans="1:8">
      <c r="A29" s="19">
        <v>20</v>
      </c>
      <c r="C29" s="133" t="s">
        <v>674</v>
      </c>
      <c r="E29" s="151"/>
      <c r="F29" s="152" t="s">
        <v>675</v>
      </c>
      <c r="G29" s="135" t="s">
        <v>675</v>
      </c>
      <c r="H29" s="134" t="s">
        <v>1093</v>
      </c>
    </row>
    <row r="30" spans="1:8">
      <c r="A30" s="19"/>
      <c r="B30" s="135"/>
      <c r="C30" s="135"/>
      <c r="D30" s="134"/>
      <c r="E30" s="134"/>
      <c r="F30" s="134"/>
      <c r="G30" s="134"/>
      <c r="H30" s="134"/>
    </row>
    <row r="31" spans="1:8">
      <c r="B31" s="135"/>
      <c r="C31" s="135"/>
      <c r="D31" s="134"/>
      <c r="E31" s="134"/>
      <c r="F31" s="134"/>
      <c r="G31" s="134"/>
      <c r="H31" s="134"/>
    </row>
    <row r="32" spans="1:8">
      <c r="A32" s="19"/>
      <c r="B32" s="135"/>
      <c r="C32" s="135"/>
      <c r="D32" s="134"/>
      <c r="E32" s="134"/>
      <c r="F32" s="134"/>
      <c r="G32" s="134"/>
      <c r="H32" s="134"/>
    </row>
    <row r="33" spans="1:8">
      <c r="A33" s="19">
        <v>21</v>
      </c>
      <c r="B33" s="132">
        <v>282</v>
      </c>
      <c r="C33" s="133" t="s">
        <v>669</v>
      </c>
      <c r="D33" s="134">
        <f>-INPUT!C39</f>
        <v>-1282989403.8199999</v>
      </c>
      <c r="E33" s="134">
        <f>+D33</f>
        <v>-1282989403.8199999</v>
      </c>
      <c r="F33" s="134"/>
      <c r="G33" s="134"/>
      <c r="H33" s="134"/>
    </row>
    <row r="34" spans="1:8">
      <c r="A34" s="19">
        <v>22</v>
      </c>
      <c r="B34" s="132">
        <v>282</v>
      </c>
      <c r="C34" s="133" t="s">
        <v>670</v>
      </c>
      <c r="D34" s="134">
        <f>-INPUT!C40</f>
        <v>2098.0199999999895</v>
      </c>
      <c r="E34" s="134"/>
      <c r="F34" s="134">
        <f>+D34</f>
        <v>2098.0199999999895</v>
      </c>
      <c r="G34" s="134"/>
      <c r="H34" s="134"/>
    </row>
    <row r="35" spans="1:8">
      <c r="A35" s="19">
        <v>23</v>
      </c>
      <c r="B35" s="132">
        <v>282</v>
      </c>
      <c r="C35" s="133" t="s">
        <v>707</v>
      </c>
      <c r="D35" s="134">
        <f>-INPUT!C41</f>
        <v>-730492280.88000011</v>
      </c>
      <c r="E35" s="134"/>
      <c r="F35" s="134"/>
      <c r="G35" s="134">
        <f>+D35</f>
        <v>-730492280.88000011</v>
      </c>
      <c r="H35" s="134"/>
    </row>
    <row r="36" spans="1:8">
      <c r="A36" s="19">
        <v>24</v>
      </c>
      <c r="B36" s="132">
        <v>282</v>
      </c>
      <c r="C36" s="133" t="s">
        <v>583</v>
      </c>
      <c r="D36" s="134">
        <f>-INPUT!C42</f>
        <v>39563.67</v>
      </c>
      <c r="E36" s="134"/>
      <c r="F36" s="134"/>
      <c r="G36" s="134"/>
      <c r="H36" s="134">
        <f>+D36</f>
        <v>39563.67</v>
      </c>
    </row>
    <row r="37" spans="1:8">
      <c r="A37" s="19">
        <v>25</v>
      </c>
      <c r="B37" s="132">
        <v>282</v>
      </c>
      <c r="C37" s="135" t="s">
        <v>77</v>
      </c>
      <c r="D37" s="138">
        <f>SUM(D33:D36)</f>
        <v>-2013440023.01</v>
      </c>
      <c r="E37" s="138">
        <f>SUM(E33:E36)</f>
        <v>-1282989403.8199999</v>
      </c>
      <c r="F37" s="138">
        <f>SUM(F33:F36)</f>
        <v>2098.0199999999895</v>
      </c>
      <c r="G37" s="138">
        <f>SUM(G33:G36)</f>
        <v>-730492280.88000011</v>
      </c>
      <c r="H37" s="138">
        <f>SUM(H33:H36)</f>
        <v>39563.67</v>
      </c>
    </row>
    <row r="38" spans="1:8">
      <c r="A38" s="19">
        <v>26</v>
      </c>
      <c r="C38" s="133" t="s">
        <v>671</v>
      </c>
      <c r="E38" s="137">
        <v>0</v>
      </c>
      <c r="F38" s="137">
        <v>1</v>
      </c>
      <c r="G38" s="137">
        <v>1</v>
      </c>
      <c r="H38" s="137">
        <v>1</v>
      </c>
    </row>
    <row r="39" spans="1:8">
      <c r="A39" s="19">
        <v>27</v>
      </c>
      <c r="C39" s="133" t="s">
        <v>672</v>
      </c>
      <c r="E39" s="151">
        <f>+E37*E38</f>
        <v>0</v>
      </c>
      <c r="F39" s="151">
        <f>+F37*F38</f>
        <v>2098.0199999999895</v>
      </c>
      <c r="G39" s="151">
        <f>+G37*G38</f>
        <v>-730492280.88000011</v>
      </c>
      <c r="H39" s="151">
        <f>+H37*H38</f>
        <v>39563.67</v>
      </c>
    </row>
    <row r="40" spans="1:8" ht="6" customHeight="1">
      <c r="A40" s="12"/>
      <c r="C40" s="133"/>
      <c r="E40" s="151"/>
      <c r="F40" s="151"/>
      <c r="G40" s="151"/>
      <c r="H40" s="151"/>
    </row>
    <row r="41" spans="1:8">
      <c r="A41" s="19">
        <v>28</v>
      </c>
      <c r="C41" s="133" t="s">
        <v>673</v>
      </c>
      <c r="E41" s="151"/>
      <c r="F41" s="151">
        <v>0</v>
      </c>
      <c r="G41" s="151">
        <f>G35</f>
        <v>-730492280.88000011</v>
      </c>
      <c r="H41" s="151">
        <f>+H39*INPUT!C78</f>
        <v>27926.060990497852</v>
      </c>
    </row>
    <row r="42" spans="1:8">
      <c r="A42" s="19">
        <v>29</v>
      </c>
      <c r="C42" s="133" t="s">
        <v>396</v>
      </c>
      <c r="E42" s="151"/>
      <c r="F42" s="151">
        <f>+F39*1</f>
        <v>2098.0199999999895</v>
      </c>
      <c r="G42" s="151">
        <v>0</v>
      </c>
      <c r="H42" s="151">
        <f>+H39*INPUT!C79</f>
        <v>11637.609009502146</v>
      </c>
    </row>
    <row r="43" spans="1:8">
      <c r="A43" s="19">
        <v>30</v>
      </c>
      <c r="C43" s="133" t="s">
        <v>674</v>
      </c>
      <c r="E43" s="151"/>
      <c r="F43" s="152" t="s">
        <v>675</v>
      </c>
      <c r="G43" s="135" t="s">
        <v>675</v>
      </c>
      <c r="H43" s="134" t="s">
        <v>1093</v>
      </c>
    </row>
    <row r="44" spans="1:8">
      <c r="A44" s="19"/>
    </row>
    <row r="45" spans="1:8">
      <c r="A45" s="19"/>
    </row>
    <row r="46" spans="1:8">
      <c r="A46" s="19">
        <v>31</v>
      </c>
      <c r="B46" s="132">
        <v>283</v>
      </c>
      <c r="C46" s="133" t="s">
        <v>669</v>
      </c>
      <c r="D46" s="134">
        <f>-INPUT!C44</f>
        <v>-38884390.300000004</v>
      </c>
      <c r="E46" s="153">
        <f>+D46</f>
        <v>-38884390.300000004</v>
      </c>
    </row>
    <row r="47" spans="1:8">
      <c r="A47" s="19">
        <v>32</v>
      </c>
      <c r="B47" s="132">
        <v>283</v>
      </c>
      <c r="C47" s="133" t="s">
        <v>670</v>
      </c>
      <c r="D47" s="134">
        <f>-INPUT!C45</f>
        <v>-26811398.789999999</v>
      </c>
      <c r="F47" s="153">
        <f>+D47</f>
        <v>-26811398.789999999</v>
      </c>
    </row>
    <row r="48" spans="1:8">
      <c r="A48" s="19">
        <v>33</v>
      </c>
      <c r="B48" s="132">
        <v>283</v>
      </c>
      <c r="C48" s="133" t="s">
        <v>707</v>
      </c>
      <c r="D48" s="134">
        <f>-INPUT!C46</f>
        <v>-160832427.38</v>
      </c>
      <c r="G48" s="153">
        <f>+D48</f>
        <v>-160832427.38</v>
      </c>
    </row>
    <row r="49" spans="1:8">
      <c r="A49" s="19">
        <v>34</v>
      </c>
      <c r="B49" s="132">
        <v>283</v>
      </c>
      <c r="C49" s="133" t="s">
        <v>583</v>
      </c>
      <c r="D49" s="134">
        <f>-INPUT!C47</f>
        <v>-21126921.609999999</v>
      </c>
      <c r="H49" s="153">
        <f>+D49</f>
        <v>-21126921.609999999</v>
      </c>
    </row>
    <row r="50" spans="1:8">
      <c r="A50" s="19">
        <v>35</v>
      </c>
      <c r="B50" s="132">
        <v>283</v>
      </c>
      <c r="C50" s="135" t="s">
        <v>77</v>
      </c>
      <c r="D50" s="138">
        <f>SUM(D46:D49)</f>
        <v>-247655138.07999998</v>
      </c>
      <c r="E50" s="138">
        <f>SUM(E46:E49)</f>
        <v>-38884390.300000004</v>
      </c>
      <c r="F50" s="138">
        <f>SUM(F46:F49)</f>
        <v>-26811398.789999999</v>
      </c>
      <c r="G50" s="138">
        <f>SUM(G46:G49)</f>
        <v>-160832427.38</v>
      </c>
      <c r="H50" s="138">
        <f>SUM(H46:H49)</f>
        <v>-21126921.609999999</v>
      </c>
    </row>
    <row r="51" spans="1:8">
      <c r="A51" s="19">
        <v>36</v>
      </c>
      <c r="B51" s="132">
        <v>283</v>
      </c>
      <c r="C51" s="133" t="s">
        <v>671</v>
      </c>
      <c r="E51" s="137">
        <v>0</v>
      </c>
      <c r="F51" s="137">
        <v>1</v>
      </c>
      <c r="G51" s="137">
        <v>1</v>
      </c>
      <c r="H51" s="137">
        <v>1</v>
      </c>
    </row>
    <row r="52" spans="1:8">
      <c r="A52" s="19">
        <v>37</v>
      </c>
      <c r="C52" s="133" t="s">
        <v>672</v>
      </c>
      <c r="E52" s="153">
        <f>+E51*E50</f>
        <v>0</v>
      </c>
      <c r="F52" s="153">
        <f>+F51*F50</f>
        <v>-26811398.789999999</v>
      </c>
      <c r="G52" s="153">
        <f>+G51*G50</f>
        <v>-160832427.38</v>
      </c>
      <c r="H52" s="153">
        <f>+H51*H50</f>
        <v>-21126921.609999999</v>
      </c>
    </row>
    <row r="53" spans="1:8" ht="6" customHeight="1">
      <c r="A53" s="12"/>
      <c r="D53" s="54"/>
      <c r="E53" s="54"/>
      <c r="F53" s="54"/>
      <c r="G53" s="54"/>
      <c r="H53" s="54"/>
    </row>
    <row r="54" spans="1:8">
      <c r="A54" s="19">
        <v>38</v>
      </c>
      <c r="C54" s="133" t="s">
        <v>673</v>
      </c>
      <c r="D54" s="54"/>
      <c r="E54" s="54"/>
      <c r="F54" s="151">
        <v>0</v>
      </c>
      <c r="G54" s="54">
        <f>G48</f>
        <v>-160832427.38</v>
      </c>
      <c r="H54" s="54">
        <f>+H52*INPUT!C78</f>
        <v>-14912461.392543389</v>
      </c>
    </row>
    <row r="55" spans="1:8">
      <c r="A55" s="19">
        <v>39</v>
      </c>
      <c r="C55" s="133" t="s">
        <v>396</v>
      </c>
      <c r="D55" s="54"/>
      <c r="E55" s="54"/>
      <c r="F55" s="54">
        <f>+F52*1</f>
        <v>-26811398.789999999</v>
      </c>
      <c r="G55" s="54">
        <v>0</v>
      </c>
      <c r="H55" s="54">
        <f>+H52*INPUT!C79</f>
        <v>-6214460.2174566109</v>
      </c>
    </row>
    <row r="56" spans="1:8">
      <c r="A56" s="19">
        <v>40</v>
      </c>
      <c r="C56" s="133" t="s">
        <v>674</v>
      </c>
      <c r="D56" s="54"/>
      <c r="E56" s="54"/>
      <c r="F56" s="152" t="s">
        <v>675</v>
      </c>
      <c r="G56" s="135" t="s">
        <v>676</v>
      </c>
      <c r="H56" s="134" t="s">
        <v>1093</v>
      </c>
    </row>
    <row r="57" spans="1:8">
      <c r="A57" s="19"/>
      <c r="C57" s="133"/>
      <c r="D57" s="54"/>
      <c r="E57" s="54"/>
      <c r="F57" s="152"/>
      <c r="G57" s="135"/>
      <c r="H57" s="134"/>
    </row>
    <row r="58" spans="1:8">
      <c r="A58" s="19">
        <v>41</v>
      </c>
      <c r="B58" s="132">
        <v>255</v>
      </c>
      <c r="C58" s="133" t="s">
        <v>669</v>
      </c>
      <c r="D58" s="134">
        <f>-INPUT!C49</f>
        <v>-16974</v>
      </c>
      <c r="E58" s="153">
        <f>+D58</f>
        <v>-16974</v>
      </c>
    </row>
    <row r="59" spans="1:8">
      <c r="A59" s="19">
        <v>42</v>
      </c>
      <c r="B59" s="132">
        <v>255</v>
      </c>
      <c r="C59" s="133" t="s">
        <v>670</v>
      </c>
      <c r="D59" s="134">
        <f>-INPUT!C57</f>
        <v>0</v>
      </c>
      <c r="F59" s="153">
        <f>+D59</f>
        <v>0</v>
      </c>
    </row>
    <row r="60" spans="1:8">
      <c r="A60" s="19">
        <v>43</v>
      </c>
      <c r="B60" s="132">
        <v>255</v>
      </c>
      <c r="C60" s="133" t="s">
        <v>707</v>
      </c>
      <c r="D60" s="134">
        <f>-INPUT!C51</f>
        <v>-962657</v>
      </c>
      <c r="G60" s="153">
        <f>+D60</f>
        <v>-962657</v>
      </c>
    </row>
    <row r="61" spans="1:8">
      <c r="A61" s="19">
        <v>44</v>
      </c>
      <c r="B61" s="132">
        <v>255</v>
      </c>
      <c r="C61" s="133" t="s">
        <v>583</v>
      </c>
      <c r="D61" s="134">
        <f>-INPUT!C59</f>
        <v>0</v>
      </c>
      <c r="H61" s="153">
        <f>+D61</f>
        <v>0</v>
      </c>
    </row>
    <row r="62" spans="1:8">
      <c r="A62" s="19">
        <v>45</v>
      </c>
      <c r="B62" s="132">
        <v>255</v>
      </c>
      <c r="C62" s="135" t="s">
        <v>77</v>
      </c>
      <c r="D62" s="138">
        <f>SUM(D58:D61)</f>
        <v>-979631</v>
      </c>
      <c r="E62" s="138">
        <f>SUM(E58:E61)</f>
        <v>-16974</v>
      </c>
      <c r="F62" s="138">
        <f>SUM(F58:F61)</f>
        <v>0</v>
      </c>
      <c r="G62" s="138">
        <f>SUM(G58:G61)</f>
        <v>-962657</v>
      </c>
      <c r="H62" s="138">
        <f>SUM(H58:H61)</f>
        <v>0</v>
      </c>
    </row>
    <row r="63" spans="1:8">
      <c r="A63" s="19">
        <v>46</v>
      </c>
      <c r="B63" s="132">
        <v>255</v>
      </c>
      <c r="C63" s="133" t="s">
        <v>671</v>
      </c>
      <c r="E63" s="137">
        <v>0</v>
      </c>
      <c r="F63" s="137">
        <v>1</v>
      </c>
      <c r="G63" s="137">
        <v>1</v>
      </c>
      <c r="H63" s="137">
        <v>1</v>
      </c>
    </row>
    <row r="64" spans="1:8">
      <c r="A64" s="19">
        <v>47</v>
      </c>
      <c r="C64" s="133" t="s">
        <v>672</v>
      </c>
      <c r="E64" s="153">
        <f>+E63*E62</f>
        <v>0</v>
      </c>
      <c r="F64" s="153">
        <f>+F63*F62</f>
        <v>0</v>
      </c>
      <c r="G64" s="153">
        <f>+G63*G62</f>
        <v>-962657</v>
      </c>
      <c r="H64" s="153">
        <f>+H63*H62</f>
        <v>0</v>
      </c>
    </row>
    <row r="65" spans="1:8">
      <c r="A65" s="19"/>
      <c r="C65" s="133"/>
      <c r="D65" s="54"/>
      <c r="E65" s="54"/>
      <c r="F65" s="152"/>
      <c r="G65" s="135" t="s">
        <v>675</v>
      </c>
      <c r="H65" s="134"/>
    </row>
    <row r="67" spans="1:8">
      <c r="A67" s="19">
        <v>48</v>
      </c>
      <c r="C67" s="128" t="s">
        <v>677</v>
      </c>
      <c r="D67" s="129" t="s">
        <v>77</v>
      </c>
      <c r="E67" s="129" t="s">
        <v>63</v>
      </c>
      <c r="F67" s="129" t="s">
        <v>64</v>
      </c>
      <c r="G67" s="92"/>
      <c r="H67" s="92"/>
    </row>
    <row r="68" spans="1:8">
      <c r="A68" s="19">
        <v>49</v>
      </c>
      <c r="C68" s="3" t="s">
        <v>678</v>
      </c>
      <c r="D68" s="54">
        <f>+F13+F39+F52</f>
        <v>-19245274.509999998</v>
      </c>
      <c r="E68" s="151">
        <f>+F15+F41+F54</f>
        <v>0</v>
      </c>
      <c r="F68" s="54">
        <f>+F16+F42+F55</f>
        <v>-19245274.509999998</v>
      </c>
      <c r="G68" s="54"/>
      <c r="H68" s="92"/>
    </row>
    <row r="69" spans="1:8">
      <c r="A69" s="19">
        <v>50</v>
      </c>
      <c r="C69" s="3" t="s">
        <v>706</v>
      </c>
      <c r="D69" s="54">
        <f>+G13+G25+G39+G52+G64</f>
        <v>-1107202454.27</v>
      </c>
      <c r="E69" s="54">
        <f>+G15+G27+G41+G54+G64</f>
        <v>-1107202454.27</v>
      </c>
      <c r="F69" s="54">
        <f>+G16+G42+G55</f>
        <v>0</v>
      </c>
      <c r="G69" s="54"/>
      <c r="H69" s="92"/>
    </row>
    <row r="70" spans="1:8">
      <c r="A70" s="19">
        <v>51</v>
      </c>
      <c r="C70" s="3" t="s">
        <v>583</v>
      </c>
      <c r="D70" s="54">
        <f>+H13+H39+H52</f>
        <v>-19071696.399999999</v>
      </c>
      <c r="E70" s="54">
        <f>+H15+H41+H54</f>
        <v>-13461778.36531996</v>
      </c>
      <c r="F70" s="54">
        <f>+H16+H42+H55</f>
        <v>-5609918.0346800396</v>
      </c>
      <c r="G70" s="54"/>
      <c r="H70" s="92"/>
    </row>
    <row r="71" spans="1:8" ht="12.75" thickBot="1">
      <c r="A71" s="19">
        <v>52</v>
      </c>
      <c r="C71" s="3" t="s">
        <v>77</v>
      </c>
      <c r="D71" s="103">
        <f>SUM(D68:D70)</f>
        <v>-1145519425.1800001</v>
      </c>
      <c r="E71" s="103">
        <f>SUM(E68:E70)</f>
        <v>-1120664232.6353199</v>
      </c>
      <c r="F71" s="103">
        <f>SUM(F68:F70)</f>
        <v>-24855192.544680037</v>
      </c>
      <c r="G71" s="54"/>
      <c r="H71" s="92"/>
    </row>
    <row r="72" spans="1:8" ht="12.75" thickTop="1">
      <c r="H72" s="92"/>
    </row>
    <row r="74" spans="1:8">
      <c r="B74" s="32" t="s">
        <v>834</v>
      </c>
      <c r="C74" s="130"/>
    </row>
    <row r="75" spans="1:8">
      <c r="C75" s="130"/>
    </row>
  </sheetData>
  <phoneticPr fontId="15" type="noConversion"/>
  <pageMargins left="0.25" right="0.25" top="1" bottom="1" header="0.5" footer="0.5"/>
  <pageSetup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I56"/>
  <sheetViews>
    <sheetView topLeftCell="A13" zoomScaleNormal="100" workbookViewId="0">
      <selection activeCell="B12" sqref="B12"/>
    </sheetView>
  </sheetViews>
  <sheetFormatPr defaultColWidth="9" defaultRowHeight="12"/>
  <cols>
    <col min="1" max="1" width="28.375" style="37" customWidth="1"/>
    <col min="2" max="2" width="11.625" style="37" customWidth="1"/>
    <col min="3" max="3" width="9.625" style="37" customWidth="1"/>
    <col min="4" max="4" width="11.125" style="37" customWidth="1"/>
    <col min="5" max="6" width="10.625" style="37" customWidth="1"/>
    <col min="7" max="7" width="28.875" style="37" customWidth="1"/>
    <col min="8" max="16384" width="9" style="37"/>
  </cols>
  <sheetData>
    <row r="1" spans="1:35" ht="12.75">
      <c r="A1" s="4" t="s">
        <v>30</v>
      </c>
      <c r="B1"/>
      <c r="C1" s="3"/>
      <c r="G1" s="18" t="s">
        <v>975</v>
      </c>
      <c r="L1" s="189" t="s">
        <v>272</v>
      </c>
      <c r="W1" s="37" t="s">
        <v>272</v>
      </c>
      <c r="AC1" s="37" t="s">
        <v>272</v>
      </c>
      <c r="AI1" s="37" t="s">
        <v>272</v>
      </c>
    </row>
    <row r="2" spans="1:35" ht="12.75">
      <c r="A2" s="30" t="str">
        <f>INPUT!$B$2</f>
        <v>12 Months Ending 12/31/2018 (actuals) for 2019</v>
      </c>
      <c r="B2" s="3"/>
      <c r="C2" s="3"/>
      <c r="D2" s="3"/>
      <c r="E2" s="3"/>
      <c r="G2" s="18" t="s">
        <v>31</v>
      </c>
    </row>
    <row r="3" spans="1:35" ht="12.75">
      <c r="A3" s="3"/>
      <c r="B3" s="3"/>
      <c r="C3" s="3"/>
      <c r="D3" s="3"/>
      <c r="E3" s="3"/>
      <c r="G3" s="18" t="s">
        <v>806</v>
      </c>
    </row>
    <row r="4" spans="1:35" ht="12.75">
      <c r="A4" s="3"/>
      <c r="B4" s="3"/>
      <c r="C4" s="3"/>
      <c r="D4" s="3"/>
      <c r="E4" s="3"/>
      <c r="F4"/>
    </row>
    <row r="5" spans="1:35" ht="12.75">
      <c r="B5" s="3"/>
      <c r="C5" s="3"/>
      <c r="D5" s="3"/>
      <c r="E5" s="3"/>
      <c r="F5" s="18"/>
    </row>
    <row r="6" spans="1:35" ht="12.75">
      <c r="A6" s="3"/>
      <c r="B6" s="46" t="s">
        <v>62</v>
      </c>
      <c r="C6" s="23"/>
      <c r="D6" s="23"/>
      <c r="E6" s="23"/>
      <c r="F6" s="23"/>
    </row>
    <row r="7" spans="1:35" ht="12.75">
      <c r="A7" s="3"/>
      <c r="B7" s="3"/>
      <c r="C7" s="3"/>
      <c r="D7" s="3"/>
      <c r="E7" s="3"/>
      <c r="F7" s="3"/>
    </row>
    <row r="8" spans="1:35" ht="12.75">
      <c r="A8" s="3"/>
      <c r="B8" s="1" t="s">
        <v>77</v>
      </c>
      <c r="C8" s="3"/>
      <c r="D8" s="1" t="s">
        <v>78</v>
      </c>
      <c r="E8" s="3"/>
      <c r="F8" s="3"/>
    </row>
    <row r="9" spans="1:35" ht="12.75">
      <c r="A9" s="3"/>
      <c r="B9" s="1" t="s">
        <v>61</v>
      </c>
      <c r="C9" s="1" t="s">
        <v>81</v>
      </c>
      <c r="D9" s="1" t="s">
        <v>69</v>
      </c>
      <c r="E9" s="3"/>
      <c r="F9" s="3"/>
    </row>
    <row r="10" spans="1:35" ht="12.75">
      <c r="A10" s="3"/>
      <c r="B10" s="1" t="s">
        <v>99</v>
      </c>
      <c r="C10" s="1" t="s">
        <v>100</v>
      </c>
      <c r="D10" s="1" t="s">
        <v>15</v>
      </c>
      <c r="E10" s="1" t="s">
        <v>63</v>
      </c>
      <c r="F10" s="1" t="s">
        <v>64</v>
      </c>
      <c r="G10" s="1" t="s">
        <v>883</v>
      </c>
    </row>
    <row r="11" spans="1:35" ht="12.75">
      <c r="A11" s="4" t="s">
        <v>109</v>
      </c>
      <c r="B11" s="1" t="s">
        <v>374</v>
      </c>
      <c r="C11" s="1" t="s">
        <v>16</v>
      </c>
      <c r="D11" s="1" t="s">
        <v>17</v>
      </c>
      <c r="E11" s="1" t="s">
        <v>76</v>
      </c>
      <c r="F11" s="1" t="s">
        <v>101</v>
      </c>
    </row>
    <row r="12" spans="1:35" ht="12.75">
      <c r="A12" s="3"/>
      <c r="B12" s="3"/>
      <c r="C12" s="3"/>
      <c r="D12" s="3"/>
      <c r="E12" s="3"/>
      <c r="F12" s="3"/>
    </row>
    <row r="13" spans="1:35" ht="12.75">
      <c r="A13" s="4" t="s">
        <v>275</v>
      </c>
      <c r="B13" s="3"/>
      <c r="C13" s="3"/>
      <c r="D13" s="3"/>
      <c r="E13" s="3"/>
      <c r="F13" s="3"/>
    </row>
    <row r="14" spans="1:35" ht="12.75">
      <c r="A14" s="2" t="s">
        <v>720</v>
      </c>
      <c r="B14" s="14">
        <f>INPUT!C54</f>
        <v>15224416.549999999</v>
      </c>
      <c r="C14" s="1" t="s">
        <v>383</v>
      </c>
      <c r="D14" s="14">
        <f>B14*F53</f>
        <v>7857542.6409456041</v>
      </c>
      <c r="E14" s="3">
        <f>D14*INPUT!C78</f>
        <v>5546255.3152041892</v>
      </c>
      <c r="F14" s="3">
        <f>D14*INPUT!C79</f>
        <v>2311287.3257414154</v>
      </c>
      <c r="G14" s="2" t="s">
        <v>872</v>
      </c>
    </row>
    <row r="15" spans="1:35" ht="12.75">
      <c r="A15" s="4" t="s">
        <v>548</v>
      </c>
      <c r="B15" s="14">
        <f>INPUT!C55</f>
        <v>0</v>
      </c>
      <c r="C15" s="1"/>
      <c r="D15" s="14">
        <f>ROUND(+B15*$F$53,'B3-B4'!C422)</f>
        <v>0</v>
      </c>
      <c r="E15" s="14">
        <f>ROUND(D15*INPUT!C78,10)</f>
        <v>0</v>
      </c>
      <c r="F15" s="14">
        <f>ROUND(+D15*INPUT!C79,10)</f>
        <v>0</v>
      </c>
      <c r="G15" s="2" t="s">
        <v>272</v>
      </c>
    </row>
    <row r="16" spans="1:35" ht="12.75">
      <c r="A16" s="4" t="s">
        <v>549</v>
      </c>
      <c r="B16" s="14">
        <f>SUM(B14:B15)</f>
        <v>15224416.549999999</v>
      </c>
      <c r="C16" s="3"/>
      <c r="D16" s="14">
        <f>SUM(D14:D15)</f>
        <v>7857542.6409456041</v>
      </c>
      <c r="E16" s="14">
        <f>SUM(E14:E15)</f>
        <v>5546255.3152041892</v>
      </c>
      <c r="F16" s="14">
        <f>SUM(F14:F15)</f>
        <v>2311287.3257414154</v>
      </c>
      <c r="G16" s="2" t="s">
        <v>872</v>
      </c>
    </row>
    <row r="17" spans="1:7" ht="12.75">
      <c r="A17" s="4" t="s">
        <v>270</v>
      </c>
      <c r="B17" s="3"/>
      <c r="C17" s="3" t="s">
        <v>272</v>
      </c>
      <c r="D17" s="3"/>
      <c r="E17" s="3"/>
      <c r="F17" s="3"/>
      <c r="G17" s="2" t="s">
        <v>272</v>
      </c>
    </row>
    <row r="18" spans="1:7" ht="12.75">
      <c r="A18" s="2" t="s">
        <v>721</v>
      </c>
      <c r="B18" s="14">
        <f>INPUT!C56</f>
        <v>126098356.3</v>
      </c>
      <c r="C18" s="1" t="s">
        <v>383</v>
      </c>
      <c r="D18" s="14">
        <f>B18*$F$53</f>
        <v>65081194.299061775</v>
      </c>
      <c r="E18" s="3">
        <f>D18*INPUT!C78</f>
        <v>45937634.231860705</v>
      </c>
      <c r="F18" s="3">
        <f>D18*INPUT!C79</f>
        <v>19143560.067201074</v>
      </c>
      <c r="G18" s="2" t="s">
        <v>873</v>
      </c>
    </row>
    <row r="19" spans="1:7" ht="12.75">
      <c r="A19" s="4" t="s">
        <v>550</v>
      </c>
      <c r="B19" s="14">
        <f>INPUT!C57</f>
        <v>0</v>
      </c>
      <c r="C19" s="1"/>
      <c r="D19" s="14">
        <f>B19*$F$53</f>
        <v>0</v>
      </c>
      <c r="E19" s="14">
        <f>ROUND(+D19*INPUT!C78,10)</f>
        <v>0</v>
      </c>
      <c r="F19" s="14">
        <f>ROUND(+D19*INPUT!C79,10)</f>
        <v>0</v>
      </c>
      <c r="G19" s="2" t="s">
        <v>272</v>
      </c>
    </row>
    <row r="20" spans="1:7" ht="12.75">
      <c r="A20" s="4" t="s">
        <v>551</v>
      </c>
      <c r="B20" s="14">
        <f>SUM(B18:B19)</f>
        <v>126098356.3</v>
      </c>
      <c r="C20" s="3"/>
      <c r="D20" s="14">
        <f>SUM(D18:D19)</f>
        <v>65081194.299061775</v>
      </c>
      <c r="E20" s="14">
        <f>SUM(E18:E19)</f>
        <v>45937634.231860705</v>
      </c>
      <c r="F20" s="14">
        <f>SUM(F18:F19)</f>
        <v>19143560.067201074</v>
      </c>
      <c r="G20" s="2" t="s">
        <v>873</v>
      </c>
    </row>
    <row r="21" spans="1:7" ht="12.75">
      <c r="A21" s="4" t="s">
        <v>391</v>
      </c>
      <c r="B21" s="3"/>
      <c r="C21" s="3"/>
      <c r="D21" s="3"/>
      <c r="E21" s="3"/>
      <c r="F21" s="3"/>
      <c r="G21" s="2" t="s">
        <v>272</v>
      </c>
    </row>
    <row r="22" spans="1:7" ht="12.75">
      <c r="A22" s="2" t="s">
        <v>722</v>
      </c>
      <c r="B22" s="14">
        <f>INPUT!C58</f>
        <v>8965595.0199999996</v>
      </c>
      <c r="C22" s="1" t="s">
        <v>383</v>
      </c>
      <c r="D22" s="14">
        <f>B22*$F$53</f>
        <v>4627273.8886075448</v>
      </c>
      <c r="E22" s="3">
        <f>D22*INPUT!C78</f>
        <v>3266166.4813449425</v>
      </c>
      <c r="F22" s="3">
        <f>D22*INPUT!C79</f>
        <v>1361107.4072626021</v>
      </c>
      <c r="G22" s="2" t="s">
        <v>874</v>
      </c>
    </row>
    <row r="23" spans="1:7" ht="12.75">
      <c r="A23" s="4" t="s">
        <v>552</v>
      </c>
      <c r="B23" s="14">
        <f>INPUT!C57</f>
        <v>0</v>
      </c>
      <c r="C23" s="1"/>
      <c r="D23" s="14">
        <f>B23*$F$53</f>
        <v>0</v>
      </c>
      <c r="E23" s="14">
        <f>ROUND(+D23*INPUT!C78,10)</f>
        <v>0</v>
      </c>
      <c r="F23" s="14">
        <f>ROUND(+D23*INPUT!C79,10)</f>
        <v>0</v>
      </c>
      <c r="G23" s="2" t="s">
        <v>272</v>
      </c>
    </row>
    <row r="24" spans="1:7" ht="12.75">
      <c r="A24" s="4" t="s">
        <v>553</v>
      </c>
      <c r="B24" s="14">
        <f>SUM(B22:B23)</f>
        <v>8965595.0199999996</v>
      </c>
      <c r="C24" s="3"/>
      <c r="D24" s="14">
        <f>SUM(D22:D23)</f>
        <v>4627273.8886075448</v>
      </c>
      <c r="E24" s="14">
        <f>SUM(E22:E23)</f>
        <v>3266166.4813449425</v>
      </c>
      <c r="F24" s="14">
        <f>SUM(F22:F23)</f>
        <v>1361107.4072626021</v>
      </c>
      <c r="G24" s="2" t="s">
        <v>874</v>
      </c>
    </row>
    <row r="25" spans="1:7" ht="12.75">
      <c r="A25" s="4" t="s">
        <v>196</v>
      </c>
      <c r="B25" s="14">
        <f>INPUT!C60</f>
        <v>8673.86</v>
      </c>
      <c r="C25" s="1" t="s">
        <v>383</v>
      </c>
      <c r="D25" s="14">
        <f t="shared" ref="D25:D30" si="0">B25*$F$53</f>
        <v>4476.7052049421527</v>
      </c>
      <c r="E25" s="14">
        <f>ROUND(+D25*INPUT!$C$78,10)</f>
        <v>3159.8874065447999</v>
      </c>
      <c r="F25" s="14">
        <f>ROUND(+D25*INPUT!$C$79,10)</f>
        <v>1316.8177983974001</v>
      </c>
      <c r="G25" s="2" t="s">
        <v>875</v>
      </c>
    </row>
    <row r="26" spans="1:7" ht="12.75">
      <c r="A26" s="4" t="s">
        <v>198</v>
      </c>
      <c r="B26" s="14">
        <f>INPUT!C61</f>
        <v>1859246.62</v>
      </c>
      <c r="C26" s="1" t="s">
        <v>383</v>
      </c>
      <c r="D26" s="14">
        <f t="shared" si="0"/>
        <v>959584.2013849779</v>
      </c>
      <c r="E26" s="14">
        <f>ROUND(+D26*INPUT!$C$78,10)</f>
        <v>677323.588367688</v>
      </c>
      <c r="F26" s="14">
        <f>ROUND(+D26*INPUT!$C$79,10)</f>
        <v>282260.61301728903</v>
      </c>
      <c r="G26" s="2" t="s">
        <v>876</v>
      </c>
    </row>
    <row r="27" spans="1:7" ht="12.75">
      <c r="A27" s="4" t="s">
        <v>203</v>
      </c>
      <c r="B27" s="14">
        <f>INPUT!C62</f>
        <v>35090948.549999997</v>
      </c>
      <c r="C27" s="1" t="s">
        <v>383</v>
      </c>
      <c r="D27" s="14">
        <f t="shared" si="0"/>
        <v>18110948.530428465</v>
      </c>
      <c r="E27" s="14">
        <f>ROUND(+D27*INPUT!$C$78,10)</f>
        <v>12783633.400453299</v>
      </c>
      <c r="F27" s="14">
        <f>ROUND(+D27*INPUT!$C$79,10)</f>
        <v>5327315.1299751503</v>
      </c>
      <c r="G27" s="2" t="s">
        <v>877</v>
      </c>
    </row>
    <row r="28" spans="1:7" ht="12.75">
      <c r="A28" s="4" t="s">
        <v>208</v>
      </c>
      <c r="B28" s="14">
        <f>INPUT!C63</f>
        <v>3014130.69</v>
      </c>
      <c r="C28" s="1" t="s">
        <v>383</v>
      </c>
      <c r="D28" s="14">
        <f t="shared" si="0"/>
        <v>1555636.6540731438</v>
      </c>
      <c r="E28" s="14">
        <f>ROUND(+D28*INPUT!$C$78,10)</f>
        <v>1098047.8828354599</v>
      </c>
      <c r="F28" s="14">
        <f>ROUND(+D28*INPUT!$C$79,10)</f>
        <v>457588.77123768802</v>
      </c>
      <c r="G28" s="2" t="s">
        <v>878</v>
      </c>
    </row>
    <row r="29" spans="1:7" ht="12.75">
      <c r="A29" s="4" t="s">
        <v>847</v>
      </c>
      <c r="B29" s="14">
        <f>INPUT!C64</f>
        <v>58810302.530000001</v>
      </c>
      <c r="C29" s="1" t="s">
        <v>383</v>
      </c>
      <c r="D29" s="14">
        <f t="shared" si="0"/>
        <v>30352851.83762173</v>
      </c>
      <c r="E29" s="14">
        <f>ROUND(+D29*INPUT!$C$78,10)</f>
        <v>21424594.625649501</v>
      </c>
      <c r="F29" s="14">
        <f>ROUND(+D29*INPUT!$C$79,10)</f>
        <v>8928257.2119722608</v>
      </c>
      <c r="G29" s="2" t="s">
        <v>879</v>
      </c>
    </row>
    <row r="30" spans="1:7" ht="12.75">
      <c r="A30" s="2" t="s">
        <v>848</v>
      </c>
      <c r="B30" s="14">
        <f>INPUT!C65</f>
        <v>7135642.1299999999</v>
      </c>
      <c r="C30" s="1" t="s">
        <v>383</v>
      </c>
      <c r="D30" s="14">
        <f t="shared" si="0"/>
        <v>3682808.6070072036</v>
      </c>
      <c r="E30" s="14">
        <f>ROUND(+D30*INPUT!$C$78,10)</f>
        <v>2599514.5995205599</v>
      </c>
      <c r="F30" s="14">
        <f>ROUND(+D30*INPUT!$C$79,10)</f>
        <v>1083294.00748664</v>
      </c>
      <c r="G30" s="2" t="s">
        <v>1079</v>
      </c>
    </row>
    <row r="31" spans="1:7" ht="12.75">
      <c r="A31" s="4" t="s">
        <v>960</v>
      </c>
      <c r="B31" s="14">
        <f>B16+B20+B24+B25+B26+B27+B28+B29+B30</f>
        <v>256207312.25000003</v>
      </c>
      <c r="C31" s="3"/>
      <c r="D31" s="14">
        <f>D16+D20+D24+D25+D26+D27+D28+D29+D30</f>
        <v>132232317.3643354</v>
      </c>
      <c r="E31" s="14">
        <f>E16+E20+E24+E25+E26+E27+E28+E29+E30</f>
        <v>93336330.01264289</v>
      </c>
      <c r="F31" s="14">
        <f>F16+F20+F24+F25+F26+F27+F28+F29+F30</f>
        <v>38895987.35169252</v>
      </c>
      <c r="G31" s="2" t="s">
        <v>1080</v>
      </c>
    </row>
    <row r="32" spans="1:7" ht="12.75">
      <c r="A32" s="4" t="s">
        <v>230</v>
      </c>
      <c r="B32" s="3"/>
      <c r="C32" s="1" t="s">
        <v>385</v>
      </c>
      <c r="D32" s="45">
        <f>ROUND(+D31/$B$31,10)</f>
        <v>0.5161145332</v>
      </c>
      <c r="E32" s="45">
        <f>ROUND(+E31/$B$31,10)</f>
        <v>0.364300024</v>
      </c>
      <c r="F32" s="45">
        <f>ROUND(+F31/$B$31,10)</f>
        <v>0.1518145092</v>
      </c>
    </row>
    <row r="33" spans="1:7" ht="12.75">
      <c r="A33" s="4" t="s">
        <v>235</v>
      </c>
      <c r="B33" s="3">
        <f>INPUT!C66</f>
        <v>0</v>
      </c>
      <c r="C33" s="19" t="s">
        <v>392</v>
      </c>
      <c r="D33" s="14">
        <f>B33*$F$53</f>
        <v>0</v>
      </c>
      <c r="E33" s="14">
        <f>ROUND(+D33*INPUT!$C$78,10)</f>
        <v>0</v>
      </c>
      <c r="F33" s="14">
        <f>ROUND(+D33*INPUT!$C$79,10)</f>
        <v>0</v>
      </c>
      <c r="G33" s="2" t="s">
        <v>1078</v>
      </c>
    </row>
    <row r="34" spans="1:7" ht="12.75">
      <c r="A34" s="3"/>
      <c r="B34" s="3"/>
      <c r="C34" s="3"/>
      <c r="D34" s="3"/>
      <c r="E34" s="3"/>
      <c r="F34" s="3"/>
    </row>
    <row r="35" spans="1:7" ht="12.75">
      <c r="A35" s="4" t="s">
        <v>1081</v>
      </c>
      <c r="B35" s="14">
        <f>+B31+B33</f>
        <v>256207312.25000003</v>
      </c>
      <c r="C35" s="3"/>
      <c r="D35" s="14">
        <f>+D31+D33</f>
        <v>132232317.3643354</v>
      </c>
      <c r="E35" s="14">
        <f>+E31+E33</f>
        <v>93336330.01264289</v>
      </c>
      <c r="F35" s="14">
        <f>+F31+F33</f>
        <v>38895987.35169252</v>
      </c>
      <c r="G35" s="2" t="s">
        <v>272</v>
      </c>
    </row>
    <row r="36" spans="1:7" ht="12.75">
      <c r="A36" s="4" t="s">
        <v>272</v>
      </c>
      <c r="B36" s="3"/>
      <c r="C36" s="3"/>
      <c r="D36" s="3"/>
      <c r="E36" s="3"/>
      <c r="F36" s="3"/>
    </row>
    <row r="37" spans="1:7" ht="12.75">
      <c r="A37" s="3"/>
      <c r="B37" s="3"/>
      <c r="C37" s="3"/>
      <c r="D37" s="3"/>
      <c r="E37" s="3"/>
      <c r="F37" s="3"/>
    </row>
    <row r="38" spans="1:7" ht="12.75">
      <c r="A38" s="3" t="s">
        <v>1082</v>
      </c>
      <c r="B38" s="3">
        <f>INPUT!C71</f>
        <v>182526693</v>
      </c>
      <c r="C38" s="19" t="s">
        <v>383</v>
      </c>
      <c r="D38" s="14">
        <f>ROUND(+B38*$F$53,0)</f>
        <v>94204679</v>
      </c>
      <c r="E38" s="14">
        <f>ROUND(+D38*INPUT!$C$78,10)</f>
        <v>66494478.680675298</v>
      </c>
      <c r="F38" s="14">
        <f>ROUND(+D38*INPUT!C79,10)</f>
        <v>27710200.319324698</v>
      </c>
      <c r="G38" s="2" t="s">
        <v>880</v>
      </c>
    </row>
    <row r="39" spans="1:7" ht="12.75">
      <c r="A39" s="3"/>
      <c r="B39" s="3"/>
      <c r="C39" s="3"/>
      <c r="D39" s="14"/>
      <c r="E39" s="14"/>
      <c r="F39" s="14"/>
    </row>
    <row r="40" spans="1:7" ht="12.75">
      <c r="A40" s="3" t="s">
        <v>1083</v>
      </c>
      <c r="B40" s="3">
        <f>B35+B38</f>
        <v>438734005.25</v>
      </c>
      <c r="C40" s="3"/>
      <c r="D40" s="3">
        <f>+D35+D38</f>
        <v>226436996.36433542</v>
      </c>
      <c r="E40" s="3">
        <f>+E35+E38</f>
        <v>159830808.69331819</v>
      </c>
      <c r="F40" s="3">
        <f>+F35+F38</f>
        <v>66606187.671017215</v>
      </c>
      <c r="G40" s="2" t="s">
        <v>1085</v>
      </c>
    </row>
    <row r="41" spans="1:7" ht="12.75">
      <c r="A41" s="3"/>
      <c r="B41" s="3"/>
      <c r="C41" s="3"/>
      <c r="D41" s="3"/>
      <c r="E41" s="3"/>
      <c r="F41" s="3"/>
    </row>
    <row r="42" spans="1:7" ht="12.75">
      <c r="A42" s="4" t="s">
        <v>1084</v>
      </c>
      <c r="B42" s="3"/>
      <c r="C42" s="1" t="s">
        <v>211</v>
      </c>
      <c r="D42" s="45">
        <f>ROUND(D40/$B$40,10)</f>
        <v>0.51611453330000001</v>
      </c>
      <c r="E42" s="45">
        <f>ROUND(E40/$B$40,10)</f>
        <v>0.36430002410000001</v>
      </c>
      <c r="F42" s="45">
        <f>ROUND(F40/$B$40,10)</f>
        <v>0.1518145092</v>
      </c>
    </row>
    <row r="43" spans="1:7" ht="12.75">
      <c r="A43" s="3"/>
      <c r="B43" s="3"/>
      <c r="C43" s="3"/>
      <c r="D43" s="3"/>
      <c r="E43" s="3"/>
      <c r="F43" s="3"/>
    </row>
    <row r="44" spans="1:7" ht="12.75">
      <c r="A44" s="3"/>
      <c r="B44" s="3"/>
      <c r="C44" s="3"/>
      <c r="D44" s="3"/>
      <c r="E44" s="3"/>
      <c r="F44" s="3"/>
    </row>
    <row r="45" spans="1:7" ht="12.75">
      <c r="A45" s="3"/>
      <c r="B45" s="3"/>
      <c r="C45" s="3"/>
      <c r="D45" s="3"/>
      <c r="E45" s="3"/>
      <c r="F45" s="18" t="s">
        <v>272</v>
      </c>
      <c r="G45" s="18" t="s">
        <v>807</v>
      </c>
    </row>
    <row r="46" spans="1:7" ht="12.75">
      <c r="A46" s="3" t="s">
        <v>1094</v>
      </c>
      <c r="B46" s="3"/>
      <c r="C46" s="3"/>
      <c r="D46" s="3"/>
      <c r="E46" s="3"/>
      <c r="F46" s="18" t="s">
        <v>272</v>
      </c>
      <c r="G46" s="18" t="s">
        <v>272</v>
      </c>
    </row>
    <row r="47" spans="1:7" ht="12.75">
      <c r="A47" s="4" t="s">
        <v>1095</v>
      </c>
      <c r="B47" s="3"/>
      <c r="C47" s="3"/>
      <c r="D47" s="3"/>
      <c r="E47" s="3"/>
      <c r="F47" s="3"/>
    </row>
    <row r="48" spans="1:7" ht="13.5" thickBot="1">
      <c r="A48" s="2" t="s">
        <v>255</v>
      </c>
      <c r="B48" s="3"/>
      <c r="C48" s="3"/>
      <c r="D48" s="3"/>
      <c r="E48" s="3"/>
      <c r="F48" s="3"/>
    </row>
    <row r="49" spans="1:6" ht="12.75">
      <c r="A49" s="63" t="s">
        <v>258</v>
      </c>
      <c r="B49" s="64"/>
      <c r="C49" s="64"/>
      <c r="D49" s="64"/>
      <c r="E49" s="64"/>
      <c r="F49" s="65"/>
    </row>
    <row r="50" spans="1:6" ht="12.75">
      <c r="A50" s="78" t="s">
        <v>745</v>
      </c>
      <c r="B50" s="54"/>
      <c r="C50" s="54"/>
      <c r="D50" s="54"/>
      <c r="E50" s="54"/>
      <c r="F50" s="67">
        <f>INPUT!C73</f>
        <v>165601260</v>
      </c>
    </row>
    <row r="51" spans="1:6" ht="12.75">
      <c r="A51" s="66" t="s">
        <v>262</v>
      </c>
      <c r="B51" s="54"/>
      <c r="C51" s="54"/>
      <c r="D51" s="54"/>
      <c r="E51" s="54"/>
      <c r="F51" s="68"/>
    </row>
    <row r="52" spans="1:6" ht="12.75">
      <c r="A52" s="78" t="s">
        <v>756</v>
      </c>
      <c r="B52" s="54"/>
      <c r="C52" s="54"/>
      <c r="D52" s="54"/>
      <c r="E52" s="54"/>
      <c r="F52" s="67">
        <f>INPUT!C74</f>
        <v>85469217</v>
      </c>
    </row>
    <row r="53" spans="1:6" ht="13.5" thickBot="1">
      <c r="A53" s="84" t="s">
        <v>542</v>
      </c>
      <c r="B53" s="69"/>
      <c r="C53" s="69"/>
      <c r="D53" s="69"/>
      <c r="E53" s="69"/>
      <c r="F53" s="70">
        <f>ROUND(+F52/F50,10)</f>
        <v>0.5161145332</v>
      </c>
    </row>
    <row r="54" spans="1:6" ht="12.75">
      <c r="A54" s="4" t="s">
        <v>1096</v>
      </c>
      <c r="B54" s="3"/>
      <c r="C54" s="3"/>
      <c r="D54" s="3"/>
      <c r="E54" s="3"/>
      <c r="F54" s="3"/>
    </row>
    <row r="55" spans="1:6" ht="12.75">
      <c r="A55" s="4" t="s">
        <v>1097</v>
      </c>
      <c r="B55" s="47"/>
      <c r="C55" s="47"/>
      <c r="D55" s="47"/>
      <c r="E55" s="47"/>
      <c r="F55" s="47"/>
    </row>
    <row r="56" spans="1:6" ht="12.75">
      <c r="A56" s="4" t="s">
        <v>1098</v>
      </c>
      <c r="B56" s="47"/>
      <c r="C56" s="47"/>
      <c r="D56" s="47"/>
      <c r="E56" s="47"/>
      <c r="F56" s="47"/>
    </row>
  </sheetData>
  <phoneticPr fontId="15" type="noConversion"/>
  <printOptions horizontalCentered="1"/>
  <pageMargins left="1" right="0.75" top="1" bottom="1" header="0.5" footer="0.5"/>
  <pageSetup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I51"/>
  <sheetViews>
    <sheetView topLeftCell="S35" zoomScaleNormal="100" workbookViewId="0">
      <selection activeCell="B12" sqref="B12"/>
    </sheetView>
  </sheetViews>
  <sheetFormatPr defaultColWidth="9" defaultRowHeight="12"/>
  <cols>
    <col min="1" max="1" width="38.375" style="37" customWidth="1"/>
    <col min="2" max="2" width="22" style="37" customWidth="1"/>
    <col min="3" max="3" width="12.75" style="37" customWidth="1"/>
    <col min="4" max="4" width="11.25" style="37" customWidth="1"/>
    <col min="5" max="5" width="13.875" style="37" customWidth="1"/>
    <col min="6" max="6" width="9" style="37"/>
    <col min="7" max="7" width="28.875" style="37" customWidth="1"/>
    <col min="8" max="8" width="18.875" style="37" customWidth="1"/>
    <col min="9" max="9" width="12.125" style="37" customWidth="1"/>
    <col min="10" max="10" width="11.75" style="37" customWidth="1"/>
    <col min="11" max="11" width="11.875" style="37" customWidth="1"/>
    <col min="12" max="12" width="11" style="37" customWidth="1"/>
    <col min="13" max="13" width="10.625" style="37" customWidth="1"/>
    <col min="14" max="14" width="9" style="37"/>
    <col min="15" max="15" width="7.125" style="37" customWidth="1"/>
    <col min="16" max="16" width="29.625" style="37" customWidth="1"/>
    <col min="17" max="17" width="8.25" style="37" customWidth="1"/>
    <col min="18" max="18" width="13.25" style="37" customWidth="1"/>
    <col min="19" max="19" width="11.375" style="37" customWidth="1"/>
    <col min="20" max="20" width="11.625" style="37" customWidth="1"/>
    <col min="21" max="21" width="10.875" style="37" customWidth="1"/>
    <col min="22" max="23" width="10.375" style="37" customWidth="1"/>
    <col min="24" max="24" width="22.875" style="37" customWidth="1"/>
    <col min="25" max="16384" width="9" style="37"/>
  </cols>
  <sheetData>
    <row r="1" spans="1:35" ht="12.75">
      <c r="A1" s="4" t="s">
        <v>32</v>
      </c>
      <c r="B1" s="220"/>
      <c r="C1" s="3"/>
      <c r="D1" s="3"/>
      <c r="E1" s="41" t="s">
        <v>975</v>
      </c>
      <c r="F1" s="3"/>
      <c r="G1" s="4" t="s">
        <v>34</v>
      </c>
      <c r="H1" s="3"/>
      <c r="I1" s="3"/>
      <c r="J1" s="3"/>
      <c r="K1" s="3"/>
      <c r="L1" s="18" t="s">
        <v>272</v>
      </c>
      <c r="M1" s="41" t="s">
        <v>975</v>
      </c>
      <c r="N1" s="3"/>
      <c r="O1" s="2" t="s">
        <v>36</v>
      </c>
      <c r="P1" s="3"/>
      <c r="Q1" s="3"/>
      <c r="R1" s="2" t="s">
        <v>25</v>
      </c>
      <c r="S1" s="3"/>
      <c r="T1" s="3"/>
      <c r="U1" s="3"/>
      <c r="V1" s="3"/>
      <c r="W1" s="3"/>
      <c r="X1" s="18" t="s">
        <v>975</v>
      </c>
      <c r="Y1" s="3"/>
      <c r="Z1" s="3"/>
      <c r="AA1" s="3"/>
      <c r="AC1" s="37" t="s">
        <v>272</v>
      </c>
      <c r="AI1" s="37" t="s">
        <v>272</v>
      </c>
    </row>
    <row r="2" spans="1:35" ht="12.75">
      <c r="A2" s="30" t="str">
        <f>INPUT!$B$2</f>
        <v>12 Months Ending 12/31/2018 (actuals) for 2019</v>
      </c>
      <c r="B2" s="3"/>
      <c r="C2" s="3"/>
      <c r="D2" s="3"/>
      <c r="E2" s="18" t="s">
        <v>33</v>
      </c>
      <c r="F2" s="3"/>
      <c r="G2" s="30" t="str">
        <f>INPUT!$B$2</f>
        <v>12 Months Ending 12/31/2018 (actuals) for 2019</v>
      </c>
      <c r="H2" s="3"/>
      <c r="I2" s="3"/>
      <c r="J2" s="3"/>
      <c r="K2" s="3"/>
      <c r="L2" s="3"/>
      <c r="M2" s="18" t="s">
        <v>35</v>
      </c>
      <c r="N2" s="3"/>
      <c r="O2" s="2" t="s">
        <v>53</v>
      </c>
      <c r="P2" s="3"/>
      <c r="Q2" s="3"/>
      <c r="R2" s="3"/>
      <c r="S2" s="3"/>
      <c r="T2" s="3"/>
      <c r="U2" s="3"/>
      <c r="V2" s="3"/>
      <c r="W2" s="3"/>
      <c r="X2" s="18" t="s">
        <v>37</v>
      </c>
      <c r="Y2" s="3"/>
      <c r="Z2" s="3"/>
      <c r="AA2" s="3"/>
    </row>
    <row r="3" spans="1:35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0" t="str">
        <f>INPUT!$B$2</f>
        <v>12 Months Ending 12/31/2018 (actuals) for 2019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35" ht="12.75">
      <c r="A4" s="3"/>
      <c r="B4" s="3"/>
      <c r="C4" s="46" t="s">
        <v>57</v>
      </c>
      <c r="D4" s="23"/>
      <c r="E4" s="23"/>
      <c r="F4" s="3"/>
      <c r="G4" s="3"/>
      <c r="H4" s="46" t="s">
        <v>58</v>
      </c>
      <c r="I4" s="3"/>
      <c r="J4" s="46" t="s">
        <v>57</v>
      </c>
      <c r="K4" s="23"/>
      <c r="L4" s="23"/>
      <c r="M4" s="2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5" ht="12.75">
      <c r="A5" s="3"/>
      <c r="B5" s="1" t="s">
        <v>372</v>
      </c>
      <c r="C5" s="1" t="s">
        <v>288</v>
      </c>
      <c r="D5" s="1" t="s">
        <v>63</v>
      </c>
      <c r="E5" s="1" t="s">
        <v>64</v>
      </c>
      <c r="F5" s="3"/>
      <c r="G5" s="3"/>
      <c r="H5" s="3"/>
      <c r="I5" s="2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5" ht="12.75">
      <c r="A6" s="3"/>
      <c r="B6" s="3"/>
      <c r="C6" s="1" t="s">
        <v>374</v>
      </c>
      <c r="D6" s="1" t="s">
        <v>16</v>
      </c>
      <c r="E6" s="1" t="s">
        <v>17</v>
      </c>
      <c r="F6" s="3"/>
      <c r="G6" s="3"/>
      <c r="H6" s="1" t="s">
        <v>372</v>
      </c>
      <c r="I6" s="1" t="s">
        <v>68</v>
      </c>
      <c r="J6" s="1" t="s">
        <v>372</v>
      </c>
      <c r="K6" s="1" t="s">
        <v>288</v>
      </c>
      <c r="L6" s="1" t="s">
        <v>63</v>
      </c>
      <c r="M6" s="1" t="s">
        <v>64</v>
      </c>
      <c r="N6" s="3"/>
      <c r="O6" s="3"/>
      <c r="P6" s="3"/>
      <c r="Q6" s="3"/>
      <c r="R6" s="46" t="s">
        <v>61</v>
      </c>
      <c r="S6" s="23"/>
      <c r="T6" s="46" t="s">
        <v>69</v>
      </c>
      <c r="U6" s="23"/>
      <c r="V6" s="23"/>
      <c r="W6" s="23"/>
      <c r="X6" s="3"/>
      <c r="Y6" s="3"/>
      <c r="Z6" s="3"/>
      <c r="AA6" s="3"/>
    </row>
    <row r="7" spans="1:35" ht="12.75">
      <c r="A7" s="3"/>
      <c r="B7" s="3"/>
      <c r="C7" s="3"/>
      <c r="D7" s="3"/>
      <c r="E7" s="3"/>
      <c r="F7" s="3"/>
      <c r="G7" s="2" t="s">
        <v>79</v>
      </c>
      <c r="H7" s="3"/>
      <c r="I7" s="1" t="s">
        <v>80</v>
      </c>
      <c r="J7" s="3"/>
      <c r="K7" s="1" t="s">
        <v>16</v>
      </c>
      <c r="L7" s="1" t="s">
        <v>17</v>
      </c>
      <c r="M7" s="1" t="s">
        <v>76</v>
      </c>
      <c r="N7" s="3"/>
      <c r="O7" s="3"/>
      <c r="P7" s="3"/>
      <c r="Q7" s="3"/>
      <c r="R7" s="3"/>
      <c r="S7" s="3"/>
      <c r="T7" s="1" t="s">
        <v>81</v>
      </c>
      <c r="U7" s="3"/>
      <c r="V7" s="3"/>
      <c r="W7" s="3"/>
      <c r="X7" s="3"/>
      <c r="Y7" s="3"/>
      <c r="Z7" s="3"/>
      <c r="AA7" s="3"/>
    </row>
    <row r="8" spans="1:35" ht="12.75">
      <c r="A8" s="3" t="s">
        <v>495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" t="s">
        <v>372</v>
      </c>
      <c r="S8" s="1" t="s">
        <v>288</v>
      </c>
      <c r="T8" s="1" t="s">
        <v>92</v>
      </c>
      <c r="U8" s="1" t="s">
        <v>288</v>
      </c>
      <c r="V8" s="1" t="s">
        <v>63</v>
      </c>
      <c r="W8" s="1" t="s">
        <v>64</v>
      </c>
      <c r="X8" s="1" t="s">
        <v>883</v>
      </c>
      <c r="Y8" s="3"/>
      <c r="Z8" s="3"/>
      <c r="AA8" s="3"/>
    </row>
    <row r="9" spans="1:35" ht="12.75">
      <c r="A9" s="3" t="s">
        <v>496</v>
      </c>
      <c r="B9" s="32" t="s">
        <v>1049</v>
      </c>
      <c r="C9" s="3">
        <f>'B11-B14'!AG25</f>
        <v>817102049.44000006</v>
      </c>
      <c r="D9" s="3">
        <f>'B11-B14'!AH25</f>
        <v>222030371.47</v>
      </c>
      <c r="E9" s="3">
        <f>'B11-B14'!AI25</f>
        <v>595071677.97000003</v>
      </c>
      <c r="F9" s="3"/>
      <c r="G9" s="2" t="s">
        <v>768</v>
      </c>
      <c r="H9" s="4" t="s">
        <v>1057</v>
      </c>
      <c r="I9" s="14">
        <f>INPUT!C81+INPUT!C87+INPUT!C88</f>
        <v>61269170</v>
      </c>
      <c r="J9" s="1"/>
      <c r="K9" s="14">
        <f>I9</f>
        <v>61269170</v>
      </c>
      <c r="L9" s="14">
        <v>0</v>
      </c>
      <c r="M9" s="14">
        <f>K9</f>
        <v>61269170</v>
      </c>
      <c r="N9" s="3"/>
      <c r="O9" s="3"/>
      <c r="P9" s="3"/>
      <c r="Q9" s="1" t="s">
        <v>371</v>
      </c>
      <c r="R9" s="3"/>
      <c r="S9" s="1" t="s">
        <v>374</v>
      </c>
      <c r="T9" s="1" t="s">
        <v>16</v>
      </c>
      <c r="U9" s="1" t="s">
        <v>17</v>
      </c>
      <c r="V9" s="1" t="s">
        <v>76</v>
      </c>
      <c r="W9" s="1" t="s">
        <v>101</v>
      </c>
      <c r="X9" s="3"/>
      <c r="Y9" s="3"/>
      <c r="Z9" s="3"/>
      <c r="AA9" s="3"/>
    </row>
    <row r="10" spans="1:35" ht="12.75">
      <c r="A10" s="3"/>
      <c r="B10" s="3"/>
      <c r="C10" s="3"/>
      <c r="D10" s="3"/>
      <c r="E10" s="3"/>
      <c r="F10" s="3"/>
      <c r="G10" s="3"/>
      <c r="H10" s="3" t="s">
        <v>792</v>
      </c>
      <c r="I10" s="3"/>
      <c r="J10" s="3"/>
      <c r="K10" s="3"/>
      <c r="L10" s="3"/>
      <c r="M10" s="3"/>
      <c r="N10" s="3"/>
      <c r="O10" s="2" t="s">
        <v>373</v>
      </c>
      <c r="P10" s="2" t="s">
        <v>110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35" ht="12.75">
      <c r="A11" s="32" t="s">
        <v>652</v>
      </c>
      <c r="B11" s="32" t="s">
        <v>1050</v>
      </c>
      <c r="C11" s="3">
        <f>-'B11-B14'!AG11-'B11-B14'!AG12-'B11-B14'!AG13</f>
        <v>-21245218</v>
      </c>
      <c r="D11" s="3">
        <f>-'B11-B14'!AH11-'B11-B14'!AH12-'B11-B14'!AH13</f>
        <v>0</v>
      </c>
      <c r="E11" s="3">
        <f>-'B11-B14'!AI11-'B11-B14'!AI12-'B11-B14'!AI13</f>
        <v>-21245218</v>
      </c>
      <c r="F11" s="3"/>
      <c r="G11" s="2" t="s">
        <v>113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35" ht="12.75">
      <c r="A12" s="3" t="s">
        <v>497</v>
      </c>
      <c r="B12" s="32" t="s">
        <v>1051</v>
      </c>
      <c r="C12" s="3">
        <f>-'B11-B14'!AG22</f>
        <v>-546598414</v>
      </c>
      <c r="D12" s="3">
        <f>-'B11-B14'!AH22</f>
        <v>-53100621</v>
      </c>
      <c r="E12" s="3">
        <f>-'B11-B14'!AI22</f>
        <v>-493497793</v>
      </c>
      <c r="F12" s="3"/>
      <c r="G12" s="3"/>
      <c r="H12" s="3"/>
      <c r="I12" s="3"/>
      <c r="J12" s="3"/>
      <c r="K12" s="3"/>
      <c r="L12" s="3"/>
      <c r="M12" s="3"/>
      <c r="N12" s="3"/>
      <c r="O12" s="2" t="s">
        <v>377</v>
      </c>
      <c r="P12" s="2" t="s">
        <v>123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35" ht="12.75">
      <c r="A13" s="3"/>
      <c r="B13" s="3"/>
      <c r="C13" s="3"/>
      <c r="D13" s="3"/>
      <c r="E13" s="3"/>
      <c r="F13" s="3"/>
      <c r="G13" s="2" t="s">
        <v>127</v>
      </c>
      <c r="H13" s="1" t="s">
        <v>392</v>
      </c>
      <c r="I13" s="14">
        <f>INPUT!C83</f>
        <v>72448059</v>
      </c>
      <c r="J13" s="1" t="s">
        <v>128</v>
      </c>
      <c r="K13" s="14">
        <f>I13</f>
        <v>72448059</v>
      </c>
      <c r="L13" s="14">
        <f>K13*('B6'!G12/'B6'!F12)</f>
        <v>72448059</v>
      </c>
      <c r="M13" s="14">
        <f>K13-L13</f>
        <v>0</v>
      </c>
      <c r="N13" s="3"/>
      <c r="O13" s="2" t="s">
        <v>379</v>
      </c>
      <c r="P13" s="2" t="s">
        <v>129</v>
      </c>
      <c r="Q13" s="1" t="s">
        <v>130</v>
      </c>
      <c r="R13" s="2" t="s">
        <v>795</v>
      </c>
      <c r="S13" s="14">
        <f>INPUT!C92</f>
        <v>40186636.140000001</v>
      </c>
      <c r="T13" s="3"/>
      <c r="U13" s="3"/>
      <c r="V13" s="3"/>
      <c r="W13" s="3"/>
      <c r="X13" s="2" t="s">
        <v>884</v>
      </c>
      <c r="Y13" s="3"/>
      <c r="Z13" s="3"/>
      <c r="AA13" s="3"/>
    </row>
    <row r="14" spans="1:35" ht="12.75">
      <c r="A14" s="3" t="s">
        <v>498</v>
      </c>
      <c r="B14" s="32" t="s">
        <v>547</v>
      </c>
      <c r="C14" s="3">
        <f>SUM(C9,C11:C12)</f>
        <v>249258417.44000006</v>
      </c>
      <c r="D14" s="3">
        <f>SUM(D9,D11:D12)</f>
        <v>168929750.47</v>
      </c>
      <c r="E14" s="3">
        <f>SUM(E9,E11:E12)</f>
        <v>80328666.970000029</v>
      </c>
      <c r="F14" s="3"/>
      <c r="G14" s="2" t="s">
        <v>136</v>
      </c>
      <c r="H14" s="2" t="s">
        <v>272</v>
      </c>
      <c r="I14" s="14">
        <f>INPUT!C84</f>
        <v>12132495</v>
      </c>
      <c r="J14" s="14">
        <v>0</v>
      </c>
      <c r="K14" s="14">
        <f>ROUND(+J14*I14,0)</f>
        <v>0</v>
      </c>
      <c r="L14" s="14">
        <v>0</v>
      </c>
      <c r="M14" s="14">
        <v>0</v>
      </c>
      <c r="N14" s="3"/>
      <c r="O14" s="2" t="s">
        <v>380</v>
      </c>
      <c r="P14" s="2" t="s">
        <v>137</v>
      </c>
      <c r="Q14" s="1" t="s">
        <v>138</v>
      </c>
      <c r="R14" s="2" t="s">
        <v>795</v>
      </c>
      <c r="S14" s="14">
        <f>INPUT!C93</f>
        <v>13542215.75</v>
      </c>
      <c r="T14" s="3"/>
      <c r="U14" s="3"/>
      <c r="V14" s="3"/>
      <c r="W14" s="3"/>
      <c r="X14" s="2" t="s">
        <v>885</v>
      </c>
      <c r="Y14" s="3"/>
      <c r="Z14" s="3"/>
      <c r="AA14" s="3"/>
    </row>
    <row r="15" spans="1:35" ht="12.75">
      <c r="A15" s="3"/>
      <c r="B15" s="3"/>
      <c r="C15" s="3"/>
      <c r="D15" s="3"/>
      <c r="E15" s="3"/>
      <c r="F15" s="3"/>
      <c r="G15" s="2" t="s">
        <v>144</v>
      </c>
      <c r="H15" s="2" t="s">
        <v>272</v>
      </c>
      <c r="I15" s="14">
        <f>INPUT!C85</f>
        <v>15137420</v>
      </c>
      <c r="J15" s="14">
        <v>0</v>
      </c>
      <c r="K15" s="14">
        <f>ROUND(+J15*I15,0)</f>
        <v>0</v>
      </c>
      <c r="L15" s="14">
        <v>0</v>
      </c>
      <c r="M15" s="14">
        <v>0</v>
      </c>
      <c r="N15" s="3"/>
      <c r="O15" s="2" t="s">
        <v>381</v>
      </c>
      <c r="P15" s="2" t="s">
        <v>145</v>
      </c>
      <c r="Q15" s="1" t="s">
        <v>146</v>
      </c>
      <c r="R15" s="2" t="s">
        <v>795</v>
      </c>
      <c r="S15" s="14">
        <f>INPUT!C94</f>
        <v>5403813.1599999983</v>
      </c>
      <c r="T15" s="1" t="s">
        <v>432</v>
      </c>
      <c r="U15" s="3"/>
      <c r="V15" s="3"/>
      <c r="W15" s="3"/>
      <c r="X15" s="2" t="s">
        <v>886</v>
      </c>
      <c r="Y15" s="3"/>
      <c r="Z15" s="3"/>
      <c r="AA15" s="3"/>
    </row>
    <row r="16" spans="1:35" ht="12.75">
      <c r="A16" s="3" t="s">
        <v>499</v>
      </c>
      <c r="B16" s="32" t="s">
        <v>1052</v>
      </c>
      <c r="C16" s="3">
        <f>+U35</f>
        <v>48192626.753268726</v>
      </c>
      <c r="D16" s="3">
        <f>+V35</f>
        <v>34487793.430499479</v>
      </c>
      <c r="E16" s="3">
        <f>+W35</f>
        <v>13704833.322769243</v>
      </c>
      <c r="F16" s="3"/>
      <c r="G16" s="2" t="s">
        <v>155</v>
      </c>
      <c r="H16" s="2" t="s">
        <v>272</v>
      </c>
      <c r="I16" s="14">
        <v>0</v>
      </c>
      <c r="J16" s="1" t="s">
        <v>383</v>
      </c>
      <c r="K16" s="14">
        <f>$I$16*'B7'!D42</f>
        <v>0</v>
      </c>
      <c r="L16" s="14">
        <f>$I$16*'B7'!E42</f>
        <v>0</v>
      </c>
      <c r="M16" s="14">
        <f>$I$16*'B7'!F42</f>
        <v>0</v>
      </c>
      <c r="N16" s="3"/>
      <c r="O16" s="2" t="s">
        <v>382</v>
      </c>
      <c r="P16" s="2" t="s">
        <v>156</v>
      </c>
      <c r="Q16" s="1" t="s">
        <v>157</v>
      </c>
      <c r="R16" s="2" t="s">
        <v>795</v>
      </c>
      <c r="S16" s="14">
        <f>INPUT!C95</f>
        <v>5765303.0599999996</v>
      </c>
      <c r="T16" s="3"/>
      <c r="U16" s="3"/>
      <c r="V16" s="3"/>
      <c r="W16" s="3"/>
      <c r="X16" s="2" t="s">
        <v>887</v>
      </c>
      <c r="Y16" s="3"/>
      <c r="Z16" s="3"/>
      <c r="AA16" s="3"/>
    </row>
    <row r="17" spans="1:27" ht="12.75">
      <c r="A17" s="3"/>
      <c r="B17" s="3"/>
      <c r="C17" s="3" t="s">
        <v>272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" t="s">
        <v>384</v>
      </c>
      <c r="P17" s="2" t="s">
        <v>160</v>
      </c>
      <c r="Q17" s="1" t="s">
        <v>161</v>
      </c>
      <c r="R17" s="2" t="s">
        <v>795</v>
      </c>
      <c r="S17" s="14">
        <f>INPUT!C96</f>
        <v>11924616.27</v>
      </c>
      <c r="T17" s="3"/>
      <c r="U17" s="3"/>
      <c r="V17" s="3"/>
      <c r="W17" s="3"/>
      <c r="X17" s="2" t="s">
        <v>888</v>
      </c>
      <c r="Y17" s="3"/>
      <c r="Z17" s="3"/>
      <c r="AA17" s="3"/>
    </row>
    <row r="18" spans="1:27" ht="12.75">
      <c r="A18" s="3" t="s">
        <v>500</v>
      </c>
      <c r="B18" s="32" t="s">
        <v>519</v>
      </c>
      <c r="C18" s="3">
        <f>+C14+C16</f>
        <v>297451044.19326878</v>
      </c>
      <c r="D18" s="3">
        <f>+D14+D16</f>
        <v>203417543.90049946</v>
      </c>
      <c r="E18" s="3">
        <f>+E14+E16</f>
        <v>94033500.292769268</v>
      </c>
      <c r="F18" s="3"/>
      <c r="G18" s="2" t="s">
        <v>165</v>
      </c>
      <c r="H18" s="4" t="s">
        <v>544</v>
      </c>
      <c r="I18" s="14">
        <f>SUM(I13:I16)</f>
        <v>99717974</v>
      </c>
      <c r="J18" s="3"/>
      <c r="K18" s="14">
        <f>SUM(K13:K16)</f>
        <v>72448059</v>
      </c>
      <c r="L18" s="14">
        <f>SUM(L13:L16)</f>
        <v>72448059</v>
      </c>
      <c r="M18" s="14">
        <f>SUM(M13:M16)</f>
        <v>0</v>
      </c>
      <c r="N18" s="3"/>
      <c r="O18" s="2" t="s">
        <v>386</v>
      </c>
      <c r="P18" s="2" t="s">
        <v>166</v>
      </c>
      <c r="Q18" s="1" t="s">
        <v>167</v>
      </c>
      <c r="R18" s="2" t="s">
        <v>795</v>
      </c>
      <c r="S18" s="14">
        <f>INPUT!C97</f>
        <v>0</v>
      </c>
      <c r="T18" s="3"/>
      <c r="U18" s="3"/>
      <c r="V18" s="3"/>
      <c r="W18" s="3"/>
      <c r="X18" s="2" t="s">
        <v>889</v>
      </c>
      <c r="Y18" s="3"/>
      <c r="Z18" s="3"/>
      <c r="AA18" s="3"/>
    </row>
    <row r="19" spans="1:27" ht="12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" t="s">
        <v>389</v>
      </c>
      <c r="P19" s="2" t="s">
        <v>171</v>
      </c>
      <c r="Q19" s="1" t="s">
        <v>172</v>
      </c>
      <c r="R19" s="2" t="s">
        <v>795</v>
      </c>
      <c r="S19" s="14">
        <f>INPUT!C98</f>
        <v>-134581</v>
      </c>
      <c r="T19" s="3"/>
      <c r="U19" s="3"/>
      <c r="V19" s="3"/>
      <c r="W19" s="3"/>
      <c r="X19" s="2" t="s">
        <v>890</v>
      </c>
      <c r="Y19" s="3"/>
      <c r="Z19" s="3"/>
      <c r="AA19" s="3"/>
    </row>
    <row r="20" spans="1:27" ht="12.75">
      <c r="A20" s="3" t="s">
        <v>501</v>
      </c>
      <c r="B20" s="32" t="s">
        <v>543</v>
      </c>
      <c r="C20" s="3">
        <f>+C18/8</f>
        <v>37181380.524158597</v>
      </c>
      <c r="D20" s="3">
        <f>+D18/8</f>
        <v>25427192.987562433</v>
      </c>
      <c r="E20" s="3">
        <f>+E18/8</f>
        <v>11754187.536596159</v>
      </c>
      <c r="F20" s="3"/>
      <c r="G20" s="3" t="s">
        <v>766</v>
      </c>
      <c r="H20" s="19" t="s">
        <v>392</v>
      </c>
      <c r="I20" s="3">
        <f>+INPUT!C86</f>
        <v>22718139.260000002</v>
      </c>
      <c r="J20" s="3"/>
      <c r="K20" s="14">
        <f>I20</f>
        <v>22718139.260000002</v>
      </c>
      <c r="L20" s="14">
        <v>0</v>
      </c>
      <c r="M20" s="14">
        <f>K20</f>
        <v>22718139.260000002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2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2" t="s">
        <v>391</v>
      </c>
      <c r="P21" s="2" t="s">
        <v>181</v>
      </c>
      <c r="Q21" s="3"/>
      <c r="R21" s="2" t="s">
        <v>182</v>
      </c>
      <c r="S21" s="14">
        <f>SUM(S13:S19)</f>
        <v>76688003.379999995</v>
      </c>
      <c r="T21" s="1" t="s">
        <v>376</v>
      </c>
      <c r="U21" s="14">
        <f>ROUND(+S21*'B7'!$F$53,10)</f>
        <v>39579793.066508703</v>
      </c>
      <c r="V21" s="14">
        <f>ROUND(+$U$21*('B7'!$E32/'B7'!$D$32),10)</f>
        <v>27937441.4718461</v>
      </c>
      <c r="W21" s="14">
        <f>ROUND(+$U$21*('B7'!$F32/'B7'!$D$32),10)</f>
        <v>11642351.594662599</v>
      </c>
      <c r="X21" s="3"/>
      <c r="Y21" s="3"/>
      <c r="Z21" s="3"/>
      <c r="AA21" s="3"/>
    </row>
    <row r="22" spans="1:27" ht="12.75">
      <c r="A22" s="3"/>
      <c r="B22" s="3"/>
      <c r="C22" s="3"/>
      <c r="D22" s="3"/>
      <c r="E22" s="3"/>
      <c r="F22" s="3"/>
      <c r="G22" s="2" t="s">
        <v>4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2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2" t="s">
        <v>393</v>
      </c>
      <c r="P23" s="2" t="s">
        <v>191</v>
      </c>
      <c r="Q23" s="1" t="s">
        <v>192</v>
      </c>
      <c r="R23" s="2" t="s">
        <v>795</v>
      </c>
      <c r="S23" s="14">
        <f>INPUT!C99-INPUT!C100-INPUT!C101</f>
        <v>5156199.6399999997</v>
      </c>
      <c r="T23" s="5" t="s">
        <v>812</v>
      </c>
      <c r="U23" s="14">
        <f>ROUND(+S23*'B7'!$F$53,10)</f>
        <v>2661189.5702846101</v>
      </c>
      <c r="V23" s="14">
        <f>ROUND(+$U$23*('B7'!$E32/'B7'!$D32),10)</f>
        <v>1878403.6526007899</v>
      </c>
      <c r="W23" s="14">
        <f>ROUND(+$U$23*('B7'!$F32/'B7'!$D32),10)</f>
        <v>782785.91768381698</v>
      </c>
      <c r="X23" s="2" t="s">
        <v>896</v>
      </c>
      <c r="Y23" s="3"/>
      <c r="Z23" s="3"/>
      <c r="AA23" s="3"/>
    </row>
    <row r="24" spans="1:27" ht="12.75">
      <c r="A24" s="3"/>
      <c r="B24" s="3"/>
      <c r="C24" s="3"/>
      <c r="D24" s="3"/>
      <c r="E24" s="3"/>
      <c r="F24" s="3"/>
      <c r="G24" s="4" t="s">
        <v>1099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2" t="s">
        <v>272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ht="12.75">
      <c r="A25" s="3"/>
      <c r="B25" s="3"/>
      <c r="C25" s="3"/>
      <c r="D25" s="3"/>
      <c r="E25" s="3"/>
      <c r="F25" s="3"/>
      <c r="G25" s="3" t="s">
        <v>793</v>
      </c>
      <c r="H25" s="3"/>
      <c r="I25" s="3"/>
      <c r="J25" s="3"/>
      <c r="K25" s="3"/>
      <c r="L25" s="3"/>
      <c r="M25" s="3"/>
      <c r="N25" s="3"/>
      <c r="O25" s="2" t="s">
        <v>394</v>
      </c>
      <c r="P25" s="2" t="s">
        <v>199</v>
      </c>
      <c r="Q25" s="1" t="s">
        <v>200</v>
      </c>
      <c r="R25" s="2" t="s">
        <v>795</v>
      </c>
      <c r="S25" s="14">
        <f>INPUT!C102</f>
        <v>-4852437.9000000004</v>
      </c>
      <c r="T25" s="5" t="s">
        <v>383</v>
      </c>
      <c r="U25" s="14">
        <f>ROUND(+$S$25*'B7'!D42,10)</f>
        <v>-2504413.72212573</v>
      </c>
      <c r="V25" s="14">
        <f>ROUND(+$S$25*'B7'!E42,10)</f>
        <v>-1767743.2439137499</v>
      </c>
      <c r="W25" s="14">
        <f>ROUND(+$S$25*'B7'!F42,10)</f>
        <v>-736670.47821197903</v>
      </c>
      <c r="X25" s="2" t="s">
        <v>891</v>
      </c>
      <c r="Y25" s="3"/>
      <c r="Z25" s="3"/>
      <c r="AA25" s="3"/>
    </row>
    <row r="26" spans="1:27" ht="12.75">
      <c r="A26" s="3"/>
      <c r="B26" s="3"/>
      <c r="C26" s="3"/>
      <c r="D26" s="3"/>
      <c r="E26" s="3"/>
      <c r="F26" s="3"/>
      <c r="G26" s="3" t="s">
        <v>808</v>
      </c>
      <c r="H26" s="3"/>
      <c r="I26" s="3"/>
      <c r="J26" s="3"/>
      <c r="K26" s="3"/>
      <c r="L26" s="3"/>
      <c r="M26" s="3"/>
      <c r="N26" s="3"/>
      <c r="O26" s="3"/>
      <c r="P26" s="3"/>
      <c r="Q26" s="1" t="s">
        <v>204</v>
      </c>
      <c r="R26" s="2" t="s">
        <v>272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ht="12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 t="s">
        <v>395</v>
      </c>
      <c r="P27" s="2" t="s">
        <v>209</v>
      </c>
      <c r="Q27" s="1" t="s">
        <v>210</v>
      </c>
      <c r="R27" s="2" t="s">
        <v>795</v>
      </c>
      <c r="S27" s="14">
        <f>INPUT!C103</f>
        <v>3492687.92</v>
      </c>
      <c r="T27" s="5" t="s">
        <v>211</v>
      </c>
      <c r="U27" s="14">
        <f>$S$27*'B6'!F20</f>
        <v>1653092.4557543236</v>
      </c>
      <c r="V27" s="14">
        <f>$S$27*'B6'!G20</f>
        <v>1636610.3577270124</v>
      </c>
      <c r="W27" s="14">
        <f>$S$27*'B6'!H20</f>
        <v>16482.098027311225</v>
      </c>
      <c r="X27" s="2" t="s">
        <v>892</v>
      </c>
      <c r="Y27" s="3"/>
      <c r="Z27" s="3"/>
      <c r="AA27" s="3"/>
    </row>
    <row r="28" spans="1:27" ht="12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" t="s">
        <v>272</v>
      </c>
      <c r="S28" s="3"/>
      <c r="T28" s="3"/>
      <c r="U28" s="3"/>
      <c r="V28" s="3"/>
      <c r="W28" s="3"/>
      <c r="X28" s="2" t="s">
        <v>272</v>
      </c>
      <c r="Y28" s="3"/>
      <c r="Z28" s="3"/>
      <c r="AA28" s="3"/>
    </row>
    <row r="29" spans="1:27" ht="12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2" t="s">
        <v>399</v>
      </c>
      <c r="P29" s="2" t="s">
        <v>220</v>
      </c>
      <c r="Q29" s="1" t="s">
        <v>221</v>
      </c>
      <c r="R29" s="2" t="s">
        <v>795</v>
      </c>
      <c r="S29" s="14">
        <f>INPUT!C104</f>
        <v>5156865.59</v>
      </c>
      <c r="T29" s="5" t="s">
        <v>385</v>
      </c>
      <c r="U29" s="14">
        <f>INPUT!C105</f>
        <v>4081</v>
      </c>
      <c r="V29" s="14">
        <f>U29</f>
        <v>4081</v>
      </c>
      <c r="W29" s="14">
        <v>0</v>
      </c>
      <c r="X29" s="2" t="s">
        <v>893</v>
      </c>
      <c r="Y29" s="3"/>
      <c r="Z29" s="3"/>
      <c r="AA29" s="3"/>
    </row>
    <row r="30" spans="1:27" ht="12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2" t="s">
        <v>272</v>
      </c>
      <c r="S30" s="3"/>
      <c r="T30" s="3"/>
      <c r="U30" s="15"/>
      <c r="V30" s="3"/>
      <c r="W30" s="3"/>
      <c r="X30" s="2" t="s">
        <v>272</v>
      </c>
      <c r="Y30" s="3"/>
      <c r="Z30" s="3"/>
      <c r="AA30" s="3"/>
    </row>
    <row r="31" spans="1:27" ht="12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2" t="s">
        <v>401</v>
      </c>
      <c r="P31" s="2" t="s">
        <v>231</v>
      </c>
      <c r="Q31" s="1" t="s">
        <v>232</v>
      </c>
      <c r="R31" s="2" t="s">
        <v>795</v>
      </c>
      <c r="S31" s="14">
        <f>INPUT!C106</f>
        <v>1255664.01</v>
      </c>
      <c r="T31" s="1" t="s">
        <v>383</v>
      </c>
      <c r="U31" s="14">
        <f>ROUND(+$S$31*'B7'!D42,10)</f>
        <v>648066.44450275705</v>
      </c>
      <c r="V31" s="14">
        <f>ROUND(+$S$31*'B7'!E42,10)</f>
        <v>457438.42910450301</v>
      </c>
      <c r="W31" s="14">
        <f>ROUND(+$S$31*'B7'!F42,10)</f>
        <v>190628.01539825401</v>
      </c>
      <c r="X31" s="2" t="s">
        <v>894</v>
      </c>
      <c r="Y31" s="3"/>
      <c r="Z31" s="3"/>
      <c r="AA31" s="3"/>
    </row>
    <row r="32" spans="1:27" ht="12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2" t="s">
        <v>272</v>
      </c>
      <c r="S32" s="3"/>
      <c r="T32" s="3"/>
      <c r="U32" s="3"/>
      <c r="V32" s="3"/>
      <c r="W32" s="3"/>
      <c r="X32" s="2" t="s">
        <v>272</v>
      </c>
      <c r="Y32" s="3"/>
      <c r="Z32" s="3"/>
      <c r="AA32" s="3"/>
    </row>
    <row r="33" spans="1:27" ht="12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2" t="s">
        <v>403</v>
      </c>
      <c r="P33" s="2" t="s">
        <v>238</v>
      </c>
      <c r="Q33" s="1" t="s">
        <v>239</v>
      </c>
      <c r="R33" s="2" t="s">
        <v>795</v>
      </c>
      <c r="S33" s="14">
        <f>INPUT!C107</f>
        <v>11917544.539999999</v>
      </c>
      <c r="T33" s="5" t="s">
        <v>383</v>
      </c>
      <c r="U33" s="14">
        <f>ROUND(+$S$33*'B7'!$D$42,10)</f>
        <v>6150817.9383440604</v>
      </c>
      <c r="V33" s="14">
        <f>ROUND(+$S$33*'B7'!$E$42,10)</f>
        <v>4341561.7631348204</v>
      </c>
      <c r="W33" s="14">
        <f>ROUND(+$S$33*'B7'!$F$42,10)</f>
        <v>1809256.1752092401</v>
      </c>
      <c r="X33" s="2" t="s">
        <v>895</v>
      </c>
      <c r="Y33" s="3"/>
      <c r="Z33" s="3"/>
      <c r="AA33" s="3"/>
    </row>
    <row r="34" spans="1:27" ht="12.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48"/>
      <c r="V34" s="3"/>
      <c r="W34" s="3"/>
      <c r="X34" s="3"/>
      <c r="Y34" s="3"/>
      <c r="Z34" s="3"/>
      <c r="AA34" s="3"/>
    </row>
    <row r="35" spans="1:27" ht="12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2" t="s">
        <v>405</v>
      </c>
      <c r="P35" s="2" t="s">
        <v>243</v>
      </c>
      <c r="Q35" s="3"/>
      <c r="R35" s="4" t="s">
        <v>546</v>
      </c>
      <c r="S35" s="14">
        <f>SUM(S21:S34)</f>
        <v>98814527.180000007</v>
      </c>
      <c r="T35" s="49"/>
      <c r="U35" s="14">
        <f>SUM(U21:U34)</f>
        <v>48192626.753268726</v>
      </c>
      <c r="V35" s="14">
        <f>SUM(V21:V34)</f>
        <v>34487793.430499479</v>
      </c>
      <c r="W35" s="14">
        <f>SUM(W21:W34)</f>
        <v>13704833.322769243</v>
      </c>
      <c r="X35" s="3"/>
      <c r="Y35" s="3"/>
      <c r="Z35" s="3"/>
      <c r="AA35" s="3"/>
    </row>
    <row r="36" spans="1:27" ht="12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2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2" t="s">
        <v>398</v>
      </c>
      <c r="P37" s="4" t="s">
        <v>545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2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4" t="s">
        <v>400</v>
      </c>
      <c r="P38" s="4" t="s">
        <v>1100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2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" t="s">
        <v>402</v>
      </c>
      <c r="P39" s="4" t="s">
        <v>794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2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 t="s">
        <v>404</v>
      </c>
      <c r="P40" s="2" t="s">
        <v>494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4" t="s">
        <v>251</v>
      </c>
      <c r="P41" s="4" t="s">
        <v>653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2" t="s">
        <v>810</v>
      </c>
      <c r="P42" s="12" t="s">
        <v>950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2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12" t="s">
        <v>272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2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2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2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7" ht="12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7" ht="12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2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2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2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</sheetData>
  <phoneticPr fontId="15" type="noConversion"/>
  <printOptions horizontalCentered="1"/>
  <pageMargins left="1" right="0.75" top="0.5" bottom="0.5" header="0.5" footer="0.5"/>
  <pageSetup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K75"/>
  <sheetViews>
    <sheetView topLeftCell="U13" zoomScaleNormal="100" workbookViewId="0">
      <selection activeCell="B12" sqref="B12"/>
    </sheetView>
  </sheetViews>
  <sheetFormatPr defaultColWidth="9" defaultRowHeight="12"/>
  <cols>
    <col min="1" max="1" width="7.375" style="37" customWidth="1"/>
    <col min="2" max="2" width="15" style="37" customWidth="1"/>
    <col min="3" max="3" width="11.125" style="37" customWidth="1"/>
    <col min="4" max="4" width="12.875" style="37" customWidth="1"/>
    <col min="5" max="5" width="9.375" style="37" customWidth="1"/>
    <col min="6" max="6" width="8.625" style="37" customWidth="1"/>
    <col min="7" max="7" width="9.625" style="37" bestFit="1" customWidth="1"/>
    <col min="8" max="8" width="14" style="37" customWidth="1"/>
    <col min="9" max="9" width="9" style="37"/>
    <col min="10" max="10" width="6.625" style="37" customWidth="1"/>
    <col min="11" max="11" width="56.625" style="37" customWidth="1"/>
    <col min="12" max="12" width="16.25" style="37" customWidth="1"/>
    <col min="13" max="15" width="12.625" style="37" customWidth="1"/>
    <col min="16" max="16" width="7.875" style="37" customWidth="1"/>
    <col min="17" max="17" width="26.625" style="37" customWidth="1"/>
    <col min="18" max="18" width="12.375" style="37" customWidth="1"/>
    <col min="19" max="19" width="14.125" style="37" bestFit="1" customWidth="1"/>
    <col min="20" max="20" width="12.875" style="37" bestFit="1" customWidth="1"/>
    <col min="21" max="21" width="12" style="37" bestFit="1" customWidth="1"/>
    <col min="22" max="22" width="13" style="37" customWidth="1"/>
    <col min="23" max="23" width="9.625" style="37" customWidth="1"/>
    <col min="24" max="24" width="9" style="37"/>
    <col min="25" max="25" width="6.875" style="37" customWidth="1"/>
    <col min="26" max="26" width="48.625" style="37" customWidth="1"/>
    <col min="27" max="27" width="16.375" style="37" customWidth="1"/>
    <col min="28" max="28" width="18.625" style="37" customWidth="1"/>
    <col min="29" max="29" width="11.375" style="37" customWidth="1"/>
    <col min="30" max="30" width="9" style="37"/>
    <col min="31" max="31" width="33.125" style="37" customWidth="1"/>
    <col min="32" max="32" width="11.625" style="37" customWidth="1"/>
    <col min="33" max="35" width="13.625" style="37" customWidth="1"/>
    <col min="36" max="36" width="28.375" style="37" customWidth="1"/>
    <col min="37" max="37" width="10.375" style="37" customWidth="1"/>
    <col min="38" max="38" width="9.75" style="37" customWidth="1"/>
    <col min="39" max="39" width="12.375" style="37" customWidth="1"/>
    <col min="40" max="40" width="9" style="37"/>
    <col min="41" max="41" width="12.125" style="37" customWidth="1"/>
    <col min="42" max="42" width="9" style="37"/>
    <col min="43" max="43" width="5.75" style="37" customWidth="1"/>
    <col min="44" max="44" width="36.625" style="37" customWidth="1"/>
    <col min="45" max="45" width="13.625" style="37" customWidth="1"/>
    <col min="46" max="46" width="12.25" style="37" customWidth="1"/>
    <col min="47" max="47" width="13.75" style="37" customWidth="1"/>
    <col min="48" max="16384" width="9" style="37"/>
  </cols>
  <sheetData>
    <row r="1" spans="1:37" ht="12.75">
      <c r="A1" s="2" t="s">
        <v>38</v>
      </c>
      <c r="B1"/>
      <c r="C1" s="3"/>
      <c r="G1" s="3"/>
      <c r="H1" s="41" t="s">
        <v>975</v>
      </c>
      <c r="J1" s="2" t="s">
        <v>723</v>
      </c>
      <c r="K1" s="3"/>
      <c r="L1" s="41" t="s">
        <v>272</v>
      </c>
      <c r="N1" s="18" t="s">
        <v>975</v>
      </c>
      <c r="O1" s="18"/>
      <c r="P1" s="2" t="s">
        <v>723</v>
      </c>
      <c r="Q1" s="3"/>
      <c r="R1" s="3"/>
      <c r="S1" s="3"/>
      <c r="T1" s="179"/>
      <c r="U1" s="24"/>
      <c r="V1" s="179"/>
      <c r="W1" s="18" t="s">
        <v>975</v>
      </c>
      <c r="Y1" s="4" t="s">
        <v>710</v>
      </c>
      <c r="Z1" s="3"/>
      <c r="AA1" s="3"/>
      <c r="AB1" s="3"/>
      <c r="AC1" s="18" t="s">
        <v>975</v>
      </c>
      <c r="AE1" s="2" t="s">
        <v>41</v>
      </c>
      <c r="AF1" s="3"/>
      <c r="AG1" s="3"/>
      <c r="AH1" s="3"/>
      <c r="AK1" s="18" t="s">
        <v>975</v>
      </c>
    </row>
    <row r="2" spans="1:37" ht="12.75">
      <c r="A2" s="30" t="str">
        <f>INPUT!$B$2</f>
        <v>12 Months Ending 12/31/2018 (actuals) for 2019</v>
      </c>
      <c r="B2" s="3"/>
      <c r="C2" s="3"/>
      <c r="D2" s="3"/>
      <c r="E2" s="3"/>
      <c r="F2" s="3"/>
      <c r="G2" s="3"/>
      <c r="H2" s="18" t="s">
        <v>39</v>
      </c>
      <c r="J2" s="30" t="str">
        <f>INPUT!$B$2</f>
        <v>12 Months Ending 12/31/2018 (actuals) for 2019</v>
      </c>
      <c r="K2" s="3"/>
      <c r="L2" s="3"/>
      <c r="M2" s="3"/>
      <c r="N2" s="18" t="s">
        <v>40</v>
      </c>
      <c r="O2" s="3"/>
      <c r="P2" s="2" t="s">
        <v>3</v>
      </c>
      <c r="Q2" s="3"/>
      <c r="R2" s="3"/>
      <c r="S2" s="3"/>
      <c r="T2" s="179"/>
      <c r="U2" s="18"/>
      <c r="V2" s="179"/>
      <c r="W2" s="18" t="s">
        <v>728</v>
      </c>
      <c r="Y2" s="30" t="str">
        <f>INPUT!$B$2</f>
        <v>12 Months Ending 12/31/2018 (actuals) for 2019</v>
      </c>
      <c r="Z2" s="3"/>
      <c r="AA2" s="3"/>
      <c r="AB2" s="3"/>
      <c r="AC2" s="24" t="s">
        <v>616</v>
      </c>
      <c r="AE2" s="2" t="s">
        <v>54</v>
      </c>
      <c r="AF2" s="3"/>
      <c r="AG2" s="3"/>
      <c r="AH2" s="3"/>
      <c r="AK2" s="24" t="s">
        <v>42</v>
      </c>
    </row>
    <row r="3" spans="1:37" ht="12.75">
      <c r="A3" s="3"/>
      <c r="B3" s="3"/>
      <c r="C3" s="3"/>
      <c r="D3" s="3"/>
      <c r="E3" s="3"/>
      <c r="F3" s="3"/>
      <c r="G3" s="3"/>
      <c r="K3" s="3"/>
      <c r="L3" s="3"/>
      <c r="M3" s="3"/>
      <c r="N3" s="3"/>
      <c r="O3" s="3"/>
      <c r="P3" s="30" t="str">
        <f>INPUT!$B$2</f>
        <v>12 Months Ending 12/31/2018 (actuals) for 2019</v>
      </c>
      <c r="Q3" s="3"/>
      <c r="R3" s="3"/>
      <c r="S3" s="3"/>
      <c r="T3" s="3"/>
      <c r="U3" s="3"/>
      <c r="V3" s="3"/>
      <c r="W3" s="3"/>
      <c r="Z3" s="3"/>
      <c r="AA3" s="3"/>
      <c r="AB3" s="3"/>
      <c r="AC3" s="3"/>
      <c r="AE3" s="2" t="s">
        <v>59</v>
      </c>
      <c r="AF3" s="3"/>
      <c r="AG3" s="3"/>
      <c r="AH3" s="3"/>
      <c r="AI3" s="3"/>
    </row>
    <row r="4" spans="1:37" ht="12.75">
      <c r="A4" s="3"/>
      <c r="B4" s="3"/>
      <c r="C4" s="3"/>
      <c r="D4" s="3"/>
      <c r="E4" s="3"/>
      <c r="F4" s="3"/>
      <c r="H4" s="3"/>
      <c r="J4" s="3"/>
      <c r="K4" s="3"/>
      <c r="L4" s="3"/>
      <c r="M4" s="3"/>
      <c r="N4" s="3"/>
      <c r="Q4" s="3"/>
      <c r="R4" s="3"/>
      <c r="S4" s="3"/>
      <c r="T4" s="3"/>
      <c r="U4" s="3"/>
      <c r="V4" s="3"/>
      <c r="W4" s="3"/>
      <c r="Y4" s="3"/>
      <c r="Z4" s="3"/>
      <c r="AA4" s="3"/>
      <c r="AB4" s="19">
        <v>-1</v>
      </c>
      <c r="AC4" s="19">
        <v>-2</v>
      </c>
      <c r="AE4" s="30" t="str">
        <f>INPUT!$B$2</f>
        <v>12 Months Ending 12/31/2018 (actuals) for 2019</v>
      </c>
      <c r="AF4" s="3"/>
      <c r="AG4" s="3"/>
      <c r="AH4" s="3"/>
      <c r="AI4" s="3"/>
    </row>
    <row r="5" spans="1:37" ht="12.75">
      <c r="B5" s="3"/>
      <c r="C5" s="3"/>
      <c r="D5" s="3"/>
      <c r="E5" s="19" t="s">
        <v>429</v>
      </c>
      <c r="F5" s="3"/>
      <c r="G5" s="3"/>
      <c r="H5" s="3"/>
      <c r="J5" s="3"/>
      <c r="K5" s="3"/>
      <c r="L5" s="3"/>
      <c r="M5" s="1"/>
      <c r="N5" s="19" t="s">
        <v>73</v>
      </c>
      <c r="O5" s="19"/>
      <c r="P5" s="3"/>
      <c r="Q5" s="19"/>
      <c r="R5" s="19"/>
      <c r="S5" s="19"/>
      <c r="T5" s="19"/>
      <c r="U5" s="19"/>
      <c r="V5" s="19"/>
      <c r="W5" s="19"/>
      <c r="Y5" s="3"/>
      <c r="Z5" s="3"/>
      <c r="AA5" s="3"/>
      <c r="AB5" s="1" t="s">
        <v>1069</v>
      </c>
      <c r="AC5" s="1" t="s">
        <v>1070</v>
      </c>
      <c r="AF5" s="3"/>
      <c r="AG5" s="3"/>
      <c r="AH5" s="3"/>
      <c r="AI5" s="3"/>
    </row>
    <row r="6" spans="1:37" ht="12.75">
      <c r="A6" s="3"/>
      <c r="B6" s="3"/>
      <c r="C6" s="2"/>
      <c r="D6" s="1" t="s">
        <v>70</v>
      </c>
      <c r="E6" s="1" t="s">
        <v>430</v>
      </c>
      <c r="F6" s="3"/>
      <c r="G6" s="1" t="s">
        <v>71</v>
      </c>
      <c r="H6" s="1" t="s">
        <v>429</v>
      </c>
      <c r="J6" s="3"/>
      <c r="K6" s="3"/>
      <c r="L6" s="3"/>
      <c r="M6" s="1" t="s">
        <v>72</v>
      </c>
      <c r="N6" s="1" t="s">
        <v>619</v>
      </c>
      <c r="O6" s="1"/>
      <c r="P6" s="19"/>
      <c r="Q6" s="1"/>
      <c r="R6" s="1">
        <v>-1</v>
      </c>
      <c r="S6" s="1">
        <v>-2</v>
      </c>
      <c r="T6" s="1">
        <v>-3</v>
      </c>
      <c r="U6" s="1">
        <v>-4</v>
      </c>
      <c r="V6" s="1">
        <v>-5</v>
      </c>
      <c r="W6" s="1">
        <v>-6</v>
      </c>
      <c r="Y6" s="3"/>
      <c r="Z6" s="3"/>
      <c r="AA6" s="3"/>
      <c r="AB6" s="3"/>
      <c r="AC6" s="3"/>
      <c r="AE6" s="45"/>
      <c r="AF6" s="3"/>
      <c r="AG6" s="3"/>
      <c r="AH6" s="3"/>
      <c r="AI6" s="3"/>
    </row>
    <row r="7" spans="1:37" ht="14.25" customHeight="1">
      <c r="A7" s="3"/>
      <c r="B7" s="3"/>
      <c r="C7" s="43"/>
      <c r="D7" s="5" t="s">
        <v>719</v>
      </c>
      <c r="E7" s="1" t="s">
        <v>431</v>
      </c>
      <c r="F7" s="3"/>
      <c r="G7" s="1" t="s">
        <v>82</v>
      </c>
      <c r="H7" s="1" t="s">
        <v>83</v>
      </c>
      <c r="J7" s="3"/>
      <c r="K7" s="3"/>
      <c r="L7" s="1" t="s">
        <v>372</v>
      </c>
      <c r="M7" s="1" t="s">
        <v>84</v>
      </c>
      <c r="N7" s="1" t="s">
        <v>85</v>
      </c>
      <c r="O7" s="1"/>
      <c r="P7" s="179"/>
      <c r="Q7" s="179"/>
      <c r="R7" s="179"/>
      <c r="S7" s="179"/>
      <c r="T7" s="180" t="s">
        <v>734</v>
      </c>
      <c r="U7" s="179"/>
      <c r="V7" s="179"/>
      <c r="W7" s="179"/>
      <c r="Y7" s="110">
        <v>1</v>
      </c>
      <c r="Z7" s="2" t="s">
        <v>334</v>
      </c>
      <c r="AA7" s="3"/>
      <c r="AB7" s="4" t="s">
        <v>560</v>
      </c>
      <c r="AC7" s="14">
        <f>INPUT!C124</f>
        <v>0</v>
      </c>
      <c r="AE7" s="3"/>
      <c r="AF7" s="3"/>
      <c r="AG7" s="1" t="s">
        <v>77</v>
      </c>
      <c r="AH7" s="1" t="s">
        <v>86</v>
      </c>
      <c r="AI7" s="1" t="s">
        <v>87</v>
      </c>
    </row>
    <row r="8" spans="1:37" ht="12.75">
      <c r="A8" s="3"/>
      <c r="B8" s="3"/>
      <c r="C8" s="1" t="s">
        <v>372</v>
      </c>
      <c r="D8" s="1" t="s">
        <v>365</v>
      </c>
      <c r="E8" s="1" t="s">
        <v>366</v>
      </c>
      <c r="F8" s="1" t="s">
        <v>372</v>
      </c>
      <c r="G8" s="1" t="s">
        <v>366</v>
      </c>
      <c r="H8" s="1" t="s">
        <v>93</v>
      </c>
      <c r="J8" s="3"/>
      <c r="K8" s="3"/>
      <c r="L8" s="1"/>
      <c r="M8" s="1" t="s">
        <v>374</v>
      </c>
      <c r="N8" s="1" t="s">
        <v>16</v>
      </c>
      <c r="O8" s="1"/>
      <c r="P8" s="179"/>
      <c r="Q8" s="181" t="s">
        <v>729</v>
      </c>
      <c r="R8" s="182" t="s">
        <v>730</v>
      </c>
      <c r="S8" s="180" t="s">
        <v>732</v>
      </c>
      <c r="T8" s="180" t="s">
        <v>735</v>
      </c>
      <c r="U8" s="180" t="s">
        <v>736</v>
      </c>
      <c r="V8" s="341" t="s">
        <v>724</v>
      </c>
      <c r="W8" s="341"/>
      <c r="Y8" s="111"/>
      <c r="Z8" s="3"/>
      <c r="AA8" s="3"/>
      <c r="AB8" s="3"/>
      <c r="AC8" s="3"/>
      <c r="AE8" s="3"/>
      <c r="AF8" s="1" t="s">
        <v>94</v>
      </c>
      <c r="AG8" s="1" t="s">
        <v>95</v>
      </c>
      <c r="AH8" s="1" t="s">
        <v>96</v>
      </c>
      <c r="AI8" s="1" t="s">
        <v>97</v>
      </c>
      <c r="AJ8" s="1" t="s">
        <v>883</v>
      </c>
    </row>
    <row r="9" spans="1:37" ht="13.5" thickBot="1">
      <c r="A9" s="3"/>
      <c r="B9" s="3"/>
      <c r="C9" s="3"/>
      <c r="D9" s="1" t="s">
        <v>374</v>
      </c>
      <c r="E9" s="1" t="s">
        <v>16</v>
      </c>
      <c r="F9" s="1"/>
      <c r="G9" s="1" t="s">
        <v>17</v>
      </c>
      <c r="H9" s="1" t="s">
        <v>76</v>
      </c>
      <c r="J9" s="3"/>
      <c r="K9" s="325" t="str">
        <f>INPUT!$B$2</f>
        <v>12 Months Ending 12/31/2018 (actuals) for 2019</v>
      </c>
      <c r="L9" s="2"/>
      <c r="M9" s="2"/>
      <c r="N9" s="18"/>
      <c r="O9" s="18"/>
      <c r="P9" s="179"/>
      <c r="Q9" s="181" t="s">
        <v>743</v>
      </c>
      <c r="R9" s="1" t="s">
        <v>731</v>
      </c>
      <c r="S9" s="1" t="s">
        <v>733</v>
      </c>
      <c r="T9" s="180" t="s">
        <v>2</v>
      </c>
      <c r="U9" s="180" t="s">
        <v>84</v>
      </c>
      <c r="V9" s="180" t="s">
        <v>725</v>
      </c>
      <c r="W9" s="180" t="s">
        <v>726</v>
      </c>
      <c r="Y9" s="111">
        <v>2</v>
      </c>
      <c r="Z9" s="4" t="s">
        <v>618</v>
      </c>
      <c r="AA9" s="1" t="s">
        <v>522</v>
      </c>
      <c r="AB9" s="4" t="s">
        <v>855</v>
      </c>
      <c r="AC9" s="14">
        <f>INPUT!C123</f>
        <v>0</v>
      </c>
      <c r="AE9" s="3"/>
      <c r="AF9" s="3"/>
      <c r="AG9" s="1" t="s">
        <v>374</v>
      </c>
      <c r="AH9" s="1" t="s">
        <v>16</v>
      </c>
      <c r="AI9" s="1" t="s">
        <v>17</v>
      </c>
    </row>
    <row r="10" spans="1:37" ht="12.75">
      <c r="A10" s="3"/>
      <c r="B10" s="3"/>
      <c r="C10" s="3"/>
      <c r="D10" s="3"/>
      <c r="E10" s="3"/>
      <c r="F10" s="3"/>
      <c r="G10" s="3"/>
      <c r="H10" s="3"/>
      <c r="J10" s="111">
        <v>1</v>
      </c>
      <c r="K10" s="2" t="s">
        <v>620</v>
      </c>
      <c r="L10" s="2" t="s">
        <v>621</v>
      </c>
      <c r="M10" s="18">
        <f>+INPUT!C110</f>
        <v>274760610</v>
      </c>
      <c r="P10" s="179"/>
      <c r="Q10" s="179"/>
      <c r="R10" s="179"/>
      <c r="S10" s="179"/>
      <c r="T10" s="179"/>
      <c r="U10" s="179"/>
      <c r="V10" s="179"/>
      <c r="W10" s="179"/>
      <c r="Y10" s="111"/>
      <c r="Z10" s="3"/>
      <c r="AA10" s="3"/>
      <c r="AB10" s="3"/>
      <c r="AC10" s="3"/>
      <c r="AE10" s="3"/>
      <c r="AF10" s="3"/>
      <c r="AG10" s="3"/>
      <c r="AH10" s="3"/>
      <c r="AI10" s="3"/>
    </row>
    <row r="11" spans="1:37" ht="12.75">
      <c r="A11" s="4" t="s">
        <v>274</v>
      </c>
      <c r="B11" s="2" t="s">
        <v>114</v>
      </c>
      <c r="C11" s="1" t="s">
        <v>376</v>
      </c>
      <c r="D11" s="14">
        <f>M19</f>
        <v>4095395854</v>
      </c>
      <c r="E11" s="45">
        <f>ROUND(+D11/$D$17,10)</f>
        <v>0.50497758169999996</v>
      </c>
      <c r="F11" s="108" t="s">
        <v>392</v>
      </c>
      <c r="G11" s="45">
        <f>N37</f>
        <v>4.7159282114661236E-2</v>
      </c>
      <c r="H11" s="45">
        <f>ROUND(+G11*E11,10)</f>
        <v>2.3814380199999999E-2</v>
      </c>
      <c r="J11" s="111">
        <v>2</v>
      </c>
      <c r="K11" s="2" t="s">
        <v>622</v>
      </c>
      <c r="L11" s="2" t="s">
        <v>623</v>
      </c>
      <c r="M11" s="18">
        <f>-INPUT!C111</f>
        <v>0</v>
      </c>
      <c r="P11" s="110">
        <v>1</v>
      </c>
      <c r="Q11" s="275" t="s">
        <v>1171</v>
      </c>
      <c r="R11" s="276">
        <v>0</v>
      </c>
      <c r="S11" s="275"/>
      <c r="T11" s="277">
        <v>0</v>
      </c>
      <c r="U11" s="193">
        <v>0.24000000016530976</v>
      </c>
      <c r="V11" s="195">
        <v>38353</v>
      </c>
      <c r="W11" s="195">
        <v>41821</v>
      </c>
      <c r="Y11" s="111">
        <v>3</v>
      </c>
      <c r="Z11" s="4" t="s">
        <v>951</v>
      </c>
      <c r="AA11" s="1" t="s">
        <v>952</v>
      </c>
      <c r="AB11" s="4" t="s">
        <v>953</v>
      </c>
      <c r="AC11" s="3">
        <v>0</v>
      </c>
      <c r="AE11" s="4" t="s">
        <v>115</v>
      </c>
      <c r="AF11" s="1" t="s">
        <v>116</v>
      </c>
      <c r="AG11" s="14">
        <f>INPUT!C134</f>
        <v>22584919</v>
      </c>
      <c r="AH11" s="3"/>
      <c r="AI11" s="14">
        <f>AG11</f>
        <v>22584919</v>
      </c>
      <c r="AJ11" s="2" t="s">
        <v>898</v>
      </c>
    </row>
    <row r="12" spans="1:37" ht="12.75">
      <c r="A12" s="3"/>
      <c r="B12" s="3"/>
      <c r="C12" s="19"/>
      <c r="D12" s="3"/>
      <c r="E12" s="45"/>
      <c r="F12" s="3"/>
      <c r="G12" s="45"/>
      <c r="H12" s="45"/>
      <c r="J12" s="111">
        <v>3</v>
      </c>
      <c r="K12" s="2" t="s">
        <v>624</v>
      </c>
      <c r="L12" s="2" t="s">
        <v>625</v>
      </c>
      <c r="M12" s="18">
        <f>+INPUT!C112</f>
        <v>0</v>
      </c>
      <c r="P12" s="110">
        <v>2</v>
      </c>
      <c r="Q12" s="275" t="s">
        <v>1172</v>
      </c>
      <c r="R12" s="276"/>
      <c r="S12" s="278"/>
      <c r="T12" s="277">
        <v>0</v>
      </c>
      <c r="U12" s="193">
        <v>0.23999999975785613</v>
      </c>
      <c r="V12" s="195">
        <v>38504</v>
      </c>
      <c r="W12" s="195">
        <v>42125</v>
      </c>
      <c r="AE12" s="4" t="s">
        <v>124</v>
      </c>
      <c r="AF12" s="1" t="s">
        <v>116</v>
      </c>
      <c r="AG12" s="14">
        <f>INPUT!C135</f>
        <v>0</v>
      </c>
      <c r="AH12" s="3"/>
      <c r="AI12" s="14">
        <f>AG12</f>
        <v>0</v>
      </c>
      <c r="AJ12" s="2" t="s">
        <v>898</v>
      </c>
    </row>
    <row r="13" spans="1:37" ht="12.75">
      <c r="A13" s="4" t="s">
        <v>275</v>
      </c>
      <c r="B13" s="2" t="s">
        <v>333</v>
      </c>
      <c r="C13" s="1" t="s">
        <v>383</v>
      </c>
      <c r="D13" s="14">
        <f>AC13</f>
        <v>0</v>
      </c>
      <c r="E13" s="45">
        <f>ROUND(+D13/$D$17,10)</f>
        <v>0</v>
      </c>
      <c r="F13" s="5" t="s">
        <v>211</v>
      </c>
      <c r="G13" s="45">
        <f>AC15</f>
        <v>0</v>
      </c>
      <c r="H13" s="45">
        <f>ROUND(+G13*E13,10)</f>
        <v>0</v>
      </c>
      <c r="J13" s="111">
        <v>4</v>
      </c>
      <c r="K13" s="2" t="s">
        <v>626</v>
      </c>
      <c r="L13" s="2" t="s">
        <v>627</v>
      </c>
      <c r="M13" s="109">
        <f>+INPUT!C113</f>
        <v>3820635244</v>
      </c>
      <c r="P13" s="110">
        <v>3</v>
      </c>
      <c r="Q13" s="275" t="s">
        <v>1173</v>
      </c>
      <c r="R13" s="276">
        <v>0</v>
      </c>
      <c r="S13" s="279"/>
      <c r="T13" s="277">
        <v>0</v>
      </c>
      <c r="U13" s="193">
        <v>0</v>
      </c>
      <c r="V13" s="195">
        <v>38596</v>
      </c>
      <c r="W13" s="195">
        <v>42248</v>
      </c>
      <c r="Y13" s="111">
        <v>4</v>
      </c>
      <c r="Z13" s="2" t="s">
        <v>608</v>
      </c>
      <c r="AA13" s="3"/>
      <c r="AB13" s="2" t="s">
        <v>143</v>
      </c>
      <c r="AC13" s="14">
        <f>+AC9+AC11</f>
        <v>0</v>
      </c>
      <c r="AE13" s="4" t="s">
        <v>131</v>
      </c>
      <c r="AF13" s="1" t="s">
        <v>116</v>
      </c>
      <c r="AG13" s="14">
        <f>INPUT!C136</f>
        <v>-1339701</v>
      </c>
      <c r="AH13" s="3"/>
      <c r="AI13" s="14">
        <f>AG13</f>
        <v>-1339701</v>
      </c>
      <c r="AJ13" s="2" t="s">
        <v>898</v>
      </c>
    </row>
    <row r="14" spans="1:37" ht="12.75">
      <c r="A14" s="4"/>
      <c r="B14" s="2"/>
      <c r="C14" s="1"/>
      <c r="D14" s="14"/>
      <c r="E14" s="45"/>
      <c r="F14" s="5"/>
      <c r="G14" s="45"/>
      <c r="H14" s="45"/>
      <c r="J14" s="111"/>
      <c r="K14" s="2"/>
      <c r="L14" s="2"/>
      <c r="M14" s="56"/>
      <c r="P14" s="110">
        <v>4</v>
      </c>
      <c r="Q14" s="275" t="s">
        <v>755</v>
      </c>
      <c r="R14" s="276">
        <v>37120.222222217359</v>
      </c>
      <c r="S14" s="279"/>
      <c r="T14" s="277">
        <v>37120.222222217359</v>
      </c>
      <c r="U14" s="193">
        <v>531355.77777778264</v>
      </c>
      <c r="V14" s="195">
        <v>37742</v>
      </c>
      <c r="W14" s="195">
        <v>48700</v>
      </c>
      <c r="Y14" s="111"/>
      <c r="Z14" s="3"/>
      <c r="AA14" s="3"/>
      <c r="AB14" s="3"/>
      <c r="AC14" s="3"/>
      <c r="AE14" s="4"/>
      <c r="AF14" s="1"/>
      <c r="AG14" s="14"/>
      <c r="AH14" s="3"/>
      <c r="AI14" s="14"/>
    </row>
    <row r="15" spans="1:37" ht="12.75">
      <c r="A15" s="4" t="s">
        <v>276</v>
      </c>
      <c r="B15" s="2" t="s">
        <v>147</v>
      </c>
      <c r="C15" s="1" t="s">
        <v>385</v>
      </c>
      <c r="D15" s="14">
        <f>INPUT!C109</f>
        <v>4014658933.6599998</v>
      </c>
      <c r="E15" s="45">
        <f>ROUND(+D15/$D$17,10)</f>
        <v>0.49502241829999999</v>
      </c>
      <c r="F15" s="5" t="s">
        <v>432</v>
      </c>
      <c r="G15" s="219">
        <v>0.104</v>
      </c>
      <c r="H15" s="45">
        <f>ROUND(+G15*E15,10)</f>
        <v>5.1482331499999999E-2</v>
      </c>
      <c r="J15" s="111"/>
      <c r="K15" s="2"/>
      <c r="L15" s="2"/>
      <c r="M15" s="56"/>
      <c r="P15" s="110">
        <v>5</v>
      </c>
      <c r="Q15" s="275" t="s">
        <v>820</v>
      </c>
      <c r="R15" s="276">
        <v>-194198.70850004116</v>
      </c>
      <c r="S15" s="279"/>
      <c r="T15" s="277">
        <v>-194198.70850004116</v>
      </c>
      <c r="U15" s="193">
        <v>-3349923.1014999584</v>
      </c>
      <c r="V15" s="195">
        <v>38808</v>
      </c>
      <c r="W15" s="195">
        <v>49766</v>
      </c>
      <c r="Y15" s="110">
        <v>5</v>
      </c>
      <c r="Z15" s="2" t="s">
        <v>148</v>
      </c>
      <c r="AA15" s="3"/>
      <c r="AB15" s="4" t="s">
        <v>954</v>
      </c>
      <c r="AC15" s="45">
        <f>IF(AC13=0,0,ROUND(+AC7/AC13,10))</f>
        <v>0</v>
      </c>
      <c r="AE15" s="4" t="s">
        <v>139</v>
      </c>
      <c r="AF15" s="1" t="s">
        <v>140</v>
      </c>
      <c r="AG15" s="14">
        <v>0</v>
      </c>
      <c r="AH15" s="3"/>
      <c r="AI15" s="3"/>
      <c r="AJ15" s="2" t="s">
        <v>211</v>
      </c>
    </row>
    <row r="16" spans="1:37" ht="12.75">
      <c r="A16" s="3"/>
      <c r="B16" s="3"/>
      <c r="C16" s="19"/>
      <c r="D16" s="3"/>
      <c r="E16" s="45"/>
      <c r="F16" s="45"/>
      <c r="G16" s="45"/>
      <c r="H16" s="45"/>
      <c r="J16" s="111"/>
      <c r="K16" s="2"/>
      <c r="L16" s="2"/>
      <c r="M16" s="56"/>
      <c r="P16" s="110">
        <v>6</v>
      </c>
      <c r="Q16" s="275" t="s">
        <v>821</v>
      </c>
      <c r="R16" s="276">
        <v>159678.17222220125</v>
      </c>
      <c r="S16" s="279"/>
      <c r="T16" s="277">
        <v>159678.17222220125</v>
      </c>
      <c r="U16" s="193">
        <v>3067004.8277777988</v>
      </c>
      <c r="V16" s="195">
        <v>39508</v>
      </c>
      <c r="W16" s="195">
        <v>50496</v>
      </c>
      <c r="Y16" s="111"/>
      <c r="Z16" s="4"/>
      <c r="AA16" s="1"/>
      <c r="AB16" s="3"/>
      <c r="AC16" s="3"/>
      <c r="AE16" s="4" t="s">
        <v>149</v>
      </c>
      <c r="AF16" s="1" t="s">
        <v>150</v>
      </c>
      <c r="AG16" s="14">
        <v>0</v>
      </c>
      <c r="AH16" s="3"/>
      <c r="AI16" s="3"/>
      <c r="AJ16" s="2" t="s">
        <v>211</v>
      </c>
    </row>
    <row r="17" spans="1:36" ht="12.75">
      <c r="A17" s="4" t="s">
        <v>278</v>
      </c>
      <c r="B17" s="2" t="s">
        <v>77</v>
      </c>
      <c r="C17" s="19" t="s">
        <v>881</v>
      </c>
      <c r="D17" s="14">
        <f>SUM(D11:D15)</f>
        <v>8110054787.6599998</v>
      </c>
      <c r="E17" s="45">
        <f>SUM(E11:E15)</f>
        <v>1</v>
      </c>
      <c r="F17" s="45"/>
      <c r="G17" s="45"/>
      <c r="H17" s="45">
        <f>SUM(H11:H15)</f>
        <v>7.5296711699999991E-2</v>
      </c>
      <c r="J17" s="111"/>
      <c r="K17" s="2"/>
      <c r="L17" s="2"/>
      <c r="M17" s="56"/>
      <c r="P17" s="110">
        <v>7</v>
      </c>
      <c r="Q17" s="275" t="s">
        <v>822</v>
      </c>
      <c r="R17" s="276">
        <v>0</v>
      </c>
      <c r="S17" s="279"/>
      <c r="T17" s="277">
        <v>0</v>
      </c>
      <c r="U17" s="193"/>
      <c r="V17" s="195">
        <v>40322</v>
      </c>
      <c r="W17" s="195">
        <v>42125</v>
      </c>
      <c r="Y17" s="111" t="s">
        <v>272</v>
      </c>
      <c r="Z17" s="2" t="s">
        <v>272</v>
      </c>
      <c r="AA17" s="1" t="s">
        <v>272</v>
      </c>
      <c r="AB17" s="3"/>
      <c r="AC17" s="3" t="s">
        <v>272</v>
      </c>
      <c r="AE17" s="4" t="s">
        <v>158</v>
      </c>
      <c r="AF17" s="1" t="s">
        <v>159</v>
      </c>
      <c r="AG17" s="14">
        <f>INPUT!C137</f>
        <v>7230292.5300000003</v>
      </c>
      <c r="AH17" s="14">
        <f>AG17</f>
        <v>7230292.5300000003</v>
      </c>
      <c r="AI17" s="3"/>
      <c r="AJ17" s="2" t="s">
        <v>899</v>
      </c>
    </row>
    <row r="18" spans="1:36" ht="12.75">
      <c r="A18" s="3"/>
      <c r="B18" s="3"/>
      <c r="C18" s="3"/>
      <c r="D18" s="3"/>
      <c r="E18" s="3"/>
      <c r="F18" s="3"/>
      <c r="G18" s="3"/>
      <c r="H18" s="3"/>
      <c r="J18" s="111"/>
      <c r="K18" s="2"/>
      <c r="L18" s="2"/>
      <c r="M18" s="56"/>
      <c r="P18" s="110">
        <v>8</v>
      </c>
      <c r="Q18" s="275" t="s">
        <v>823</v>
      </c>
      <c r="R18" s="276">
        <v>-1131433.9100000272</v>
      </c>
      <c r="S18" s="279"/>
      <c r="T18" s="277">
        <v>-1131433.9100000272</v>
      </c>
      <c r="U18" s="193">
        <v>-2514293.999999973</v>
      </c>
      <c r="V18" s="195">
        <v>40603</v>
      </c>
      <c r="W18" s="195">
        <v>44256</v>
      </c>
      <c r="Y18" s="111"/>
      <c r="Z18" s="3"/>
      <c r="AA18" s="3"/>
      <c r="AB18" s="3"/>
      <c r="AC18" s="3"/>
      <c r="AE18" s="4" t="s">
        <v>162</v>
      </c>
      <c r="AF18" s="1" t="s">
        <v>385</v>
      </c>
      <c r="AG18" s="14">
        <f>INPUT!C138</f>
        <v>17685323.740000002</v>
      </c>
      <c r="AH18" s="14">
        <f>AG18</f>
        <v>17685323.740000002</v>
      </c>
      <c r="AI18" s="3"/>
      <c r="AJ18" s="2" t="s">
        <v>900</v>
      </c>
    </row>
    <row r="19" spans="1:36" ht="12.75">
      <c r="A19" s="2" t="s">
        <v>398</v>
      </c>
      <c r="B19" s="32" t="s">
        <v>1056</v>
      </c>
      <c r="C19" s="3"/>
      <c r="D19" s="3"/>
      <c r="E19" s="3"/>
      <c r="F19" s="3"/>
      <c r="G19" s="3"/>
      <c r="H19" s="3"/>
      <c r="J19" s="111">
        <v>5</v>
      </c>
      <c r="K19" s="2" t="s">
        <v>628</v>
      </c>
      <c r="L19" s="2"/>
      <c r="M19" s="18">
        <f>SUM(M10:M13)</f>
        <v>4095395854</v>
      </c>
      <c r="P19" s="110">
        <v>9</v>
      </c>
      <c r="Q19" s="192"/>
      <c r="R19" s="193"/>
      <c r="S19" s="192"/>
      <c r="T19" s="194">
        <v>0</v>
      </c>
      <c r="U19" s="193"/>
      <c r="V19" s="195"/>
      <c r="W19" s="195"/>
      <c r="AE19" s="4" t="s">
        <v>168</v>
      </c>
      <c r="AF19" s="1" t="s">
        <v>376</v>
      </c>
      <c r="AG19" s="14">
        <f>INPUT!C140</f>
        <v>224342801.16999999</v>
      </c>
      <c r="AH19" s="14">
        <f>INPUT!C141</f>
        <v>144014134.19999999</v>
      </c>
      <c r="AI19" s="14">
        <f>INPUT!C142</f>
        <v>80328666.969999999</v>
      </c>
    </row>
    <row r="20" spans="1:36" ht="13.5" thickBot="1">
      <c r="A20" s="3"/>
      <c r="B20" s="3"/>
      <c r="C20" s="3"/>
      <c r="D20" s="3"/>
      <c r="E20" s="3"/>
      <c r="F20" s="3"/>
      <c r="G20" s="3"/>
      <c r="H20" s="3"/>
      <c r="J20" s="111"/>
      <c r="K20" s="4"/>
      <c r="L20" s="2"/>
      <c r="M20" s="2"/>
      <c r="N20" s="18"/>
      <c r="O20" s="18"/>
      <c r="P20" s="179"/>
      <c r="Q20" s="192" t="s">
        <v>272</v>
      </c>
      <c r="R20" s="231" t="s">
        <v>272</v>
      </c>
      <c r="S20" s="192"/>
      <c r="T20" s="232">
        <v>0</v>
      </c>
      <c r="U20" s="193" t="s">
        <v>272</v>
      </c>
      <c r="V20" s="195" t="s">
        <v>272</v>
      </c>
      <c r="W20" s="195" t="s">
        <v>272</v>
      </c>
      <c r="Y20" s="3"/>
      <c r="Z20" s="3"/>
      <c r="AA20" s="3"/>
      <c r="AB20" s="3"/>
      <c r="AC20" s="3"/>
      <c r="AE20" s="4" t="s">
        <v>173</v>
      </c>
      <c r="AF20" s="1" t="s">
        <v>376</v>
      </c>
      <c r="AG20" s="14">
        <v>0</v>
      </c>
      <c r="AH20" s="3"/>
      <c r="AI20" s="14">
        <f>AG20</f>
        <v>0</v>
      </c>
    </row>
    <row r="21" spans="1:36" ht="12.75">
      <c r="A21" s="2" t="s">
        <v>400</v>
      </c>
      <c r="B21" s="32" t="s">
        <v>1055</v>
      </c>
      <c r="C21" s="3"/>
      <c r="D21" s="3"/>
      <c r="E21" s="3"/>
      <c r="F21" s="3"/>
      <c r="G21" s="3"/>
      <c r="H21" s="3"/>
      <c r="J21" s="111"/>
      <c r="K21" s="4"/>
      <c r="L21" s="2"/>
      <c r="M21" s="2"/>
      <c r="N21" s="18"/>
      <c r="O21" s="18"/>
      <c r="P21" s="110">
        <v>10</v>
      </c>
      <c r="Q21" s="181" t="s">
        <v>727</v>
      </c>
      <c r="R21" s="183">
        <f>SUM(R11:R20)</f>
        <v>-1128834.2240556497</v>
      </c>
      <c r="S21" s="183">
        <f>SUM(S11:S20)</f>
        <v>0</v>
      </c>
      <c r="T21" s="183">
        <f>SUM(T11:T20)</f>
        <v>-1128834.2240556497</v>
      </c>
      <c r="U21" s="179"/>
      <c r="V21" s="179"/>
      <c r="W21" s="179"/>
      <c r="Y21" s="3"/>
      <c r="Z21" s="3"/>
      <c r="AA21" s="3"/>
      <c r="AB21" s="3"/>
      <c r="AC21" s="3"/>
      <c r="AE21" s="4" t="s">
        <v>176</v>
      </c>
      <c r="AF21" s="1" t="s">
        <v>376</v>
      </c>
      <c r="AG21" s="14">
        <v>0</v>
      </c>
      <c r="AH21" s="3"/>
      <c r="AI21" s="3"/>
    </row>
    <row r="22" spans="1:36" ht="12.75">
      <c r="A22" s="3"/>
      <c r="B22" s="3"/>
      <c r="C22" s="3"/>
      <c r="D22" s="3"/>
      <c r="E22" s="3"/>
      <c r="F22" s="3"/>
      <c r="G22" s="3"/>
      <c r="H22" s="3"/>
      <c r="J22" s="111"/>
      <c r="K22" s="4"/>
      <c r="L22" s="2"/>
      <c r="M22" s="2"/>
      <c r="N22" s="18"/>
      <c r="O22" s="18"/>
      <c r="P22" s="18"/>
      <c r="Q22" s="179"/>
      <c r="R22" s="179"/>
      <c r="S22" s="179"/>
      <c r="T22" s="179"/>
      <c r="U22" s="179"/>
      <c r="V22" s="179"/>
      <c r="W22" s="179"/>
      <c r="Y22" s="2" t="s">
        <v>398</v>
      </c>
      <c r="Z22" s="4" t="s">
        <v>798</v>
      </c>
      <c r="AA22" s="3"/>
      <c r="AB22" s="3"/>
      <c r="AC22" s="3"/>
      <c r="AE22" s="4" t="s">
        <v>183</v>
      </c>
      <c r="AF22" s="1" t="s">
        <v>184</v>
      </c>
      <c r="AG22" s="14">
        <f>INPUT!C143</f>
        <v>546598414</v>
      </c>
      <c r="AH22" s="14">
        <f>INPUT!C144</f>
        <v>53100621</v>
      </c>
      <c r="AI22" s="14">
        <f>INPUT!C145</f>
        <v>493497793</v>
      </c>
      <c r="AJ22" s="2" t="s">
        <v>901</v>
      </c>
    </row>
    <row r="23" spans="1:36" ht="13.5" thickBot="1">
      <c r="A23" s="2" t="s">
        <v>402</v>
      </c>
      <c r="B23" s="4" t="s">
        <v>1053</v>
      </c>
      <c r="C23" s="3"/>
      <c r="D23" s="3"/>
      <c r="E23" s="3"/>
      <c r="F23" s="3"/>
      <c r="G23" s="3"/>
      <c r="H23" s="3"/>
      <c r="J23" s="111"/>
      <c r="K23" s="326" t="s">
        <v>629</v>
      </c>
      <c r="L23" s="2"/>
      <c r="M23" s="2"/>
      <c r="N23" s="18"/>
      <c r="O23" s="18"/>
      <c r="P23" s="18"/>
      <c r="Q23" s="18"/>
      <c r="R23" s="18"/>
      <c r="S23" s="18"/>
      <c r="T23" s="18"/>
      <c r="U23" s="18"/>
      <c r="V23" s="18"/>
      <c r="W23" s="18"/>
      <c r="Y23" s="3"/>
      <c r="Z23" s="3"/>
      <c r="AA23" s="3"/>
      <c r="AB23" s="3"/>
      <c r="AC23" s="3"/>
      <c r="AE23" s="3"/>
      <c r="AF23" s="3"/>
      <c r="AG23" s="3"/>
      <c r="AH23" s="3"/>
      <c r="AI23" s="3"/>
    </row>
    <row r="24" spans="1:36" ht="12.75">
      <c r="A24" s="47"/>
      <c r="B24" s="3"/>
      <c r="C24" s="47"/>
      <c r="D24" s="47"/>
      <c r="E24" s="47"/>
      <c r="F24" s="47"/>
      <c r="G24" s="47"/>
      <c r="H24" s="47"/>
      <c r="J24" s="111">
        <v>6</v>
      </c>
      <c r="K24" s="2" t="s">
        <v>630</v>
      </c>
      <c r="L24" s="2" t="s">
        <v>631</v>
      </c>
      <c r="M24" s="1" t="s">
        <v>376</v>
      </c>
      <c r="N24" s="14">
        <f>+INPUT!C117</f>
        <v>185758244.73999998</v>
      </c>
      <c r="O24" s="14"/>
      <c r="P24" s="18"/>
      <c r="Q24" s="18"/>
      <c r="R24" s="18"/>
      <c r="S24" s="18"/>
      <c r="T24" s="18"/>
      <c r="U24" s="18"/>
      <c r="V24" s="18"/>
      <c r="W24" s="18"/>
      <c r="Y24" s="3" t="s">
        <v>609</v>
      </c>
      <c r="Z24" s="3" t="s">
        <v>856</v>
      </c>
      <c r="AA24" s="3"/>
      <c r="AB24" s="3"/>
      <c r="AC24" s="3"/>
      <c r="AE24" s="4" t="s">
        <v>193</v>
      </c>
      <c r="AF24" s="3"/>
      <c r="AG24" s="3"/>
      <c r="AH24" s="3"/>
      <c r="AI24" s="3"/>
    </row>
    <row r="25" spans="1:36" ht="12.75">
      <c r="A25" s="4" t="s">
        <v>404</v>
      </c>
      <c r="B25" s="32" t="s">
        <v>1066</v>
      </c>
      <c r="J25" s="111">
        <v>7</v>
      </c>
      <c r="K25" s="2" t="s">
        <v>632</v>
      </c>
      <c r="L25" s="2" t="s">
        <v>633</v>
      </c>
      <c r="M25" s="1"/>
      <c r="N25" s="14">
        <f>+INPUT!C118</f>
        <v>3440688.71</v>
      </c>
      <c r="O25" s="14"/>
      <c r="P25" s="18"/>
      <c r="Q25" s="6" t="s">
        <v>642</v>
      </c>
      <c r="R25" s="2"/>
      <c r="S25" s="2"/>
      <c r="T25" s="18"/>
      <c r="U25" s="14"/>
      <c r="V25" s="14"/>
      <c r="W25" s="14"/>
      <c r="AE25" s="4" t="s">
        <v>799</v>
      </c>
      <c r="AF25" s="19" t="s">
        <v>800</v>
      </c>
      <c r="AG25" s="14">
        <f>SUM(AG11:AG22)</f>
        <v>817102049.44000006</v>
      </c>
      <c r="AH25" s="14">
        <f>SUM(AH11:AH22)</f>
        <v>222030371.47</v>
      </c>
      <c r="AI25" s="14">
        <f>SUM(AI11:AI22)</f>
        <v>595071677.97000003</v>
      </c>
    </row>
    <row r="26" spans="1:36" ht="12.75">
      <c r="A26" s="3"/>
      <c r="B26" s="3"/>
      <c r="J26" s="111">
        <v>8</v>
      </c>
      <c r="K26" s="2" t="s">
        <v>634</v>
      </c>
      <c r="L26" s="2" t="s">
        <v>635</v>
      </c>
      <c r="M26" s="1"/>
      <c r="N26" s="14">
        <f>+INPUT!C119</f>
        <v>3936995</v>
      </c>
      <c r="O26" s="14"/>
      <c r="P26" s="110">
        <v>11</v>
      </c>
      <c r="Q26" s="2" t="s">
        <v>0</v>
      </c>
      <c r="R26" s="179"/>
      <c r="S26" s="179"/>
      <c r="T26" s="4"/>
      <c r="U26" s="14"/>
      <c r="V26" s="14"/>
      <c r="W26" s="14">
        <f>+T21</f>
        <v>-1128834.2240556497</v>
      </c>
      <c r="AE26" s="3"/>
      <c r="AF26" s="3"/>
      <c r="AG26" s="3"/>
      <c r="AH26" s="3"/>
      <c r="AI26" s="3"/>
    </row>
    <row r="27" spans="1:36" ht="12.75">
      <c r="A27" s="4" t="s">
        <v>251</v>
      </c>
      <c r="B27" s="32" t="s">
        <v>1054</v>
      </c>
      <c r="J27" s="111">
        <v>9</v>
      </c>
      <c r="K27" s="2" t="s">
        <v>636</v>
      </c>
      <c r="L27" s="2" t="s">
        <v>637</v>
      </c>
      <c r="M27" s="1"/>
      <c r="N27" s="14">
        <f>+INPUT!C120</f>
        <v>0</v>
      </c>
      <c r="O27" s="14"/>
      <c r="P27" s="110"/>
      <c r="Q27" s="2" t="s">
        <v>643</v>
      </c>
      <c r="R27" s="2"/>
      <c r="S27" s="2"/>
      <c r="T27" s="18"/>
      <c r="U27" s="14"/>
      <c r="V27" s="14"/>
      <c r="W27" s="14"/>
      <c r="AE27" s="4" t="s">
        <v>1071</v>
      </c>
      <c r="AF27" s="19" t="s">
        <v>272</v>
      </c>
      <c r="AG27" s="14">
        <f>'B8-B10'!U35</f>
        <v>48192626.753268726</v>
      </c>
      <c r="AH27" s="14">
        <f>'B8-B10'!V35</f>
        <v>34487793.430499479</v>
      </c>
      <c r="AI27" s="14">
        <f>'B8-B10'!W35</f>
        <v>13704833.322769243</v>
      </c>
    </row>
    <row r="28" spans="1:36" ht="12.75">
      <c r="A28" s="3"/>
      <c r="B28" s="3"/>
      <c r="J28" s="111">
        <v>10</v>
      </c>
      <c r="K28" s="2" t="s">
        <v>638</v>
      </c>
      <c r="L28" s="2" t="s">
        <v>639</v>
      </c>
      <c r="M28" s="1"/>
      <c r="N28" s="14">
        <f>+INPUT!C121</f>
        <v>0</v>
      </c>
      <c r="O28" s="14"/>
      <c r="P28" s="110">
        <v>12</v>
      </c>
      <c r="Q28" s="2" t="s">
        <v>644</v>
      </c>
      <c r="R28" s="179"/>
      <c r="S28" s="179"/>
      <c r="T28" s="4" t="s">
        <v>797</v>
      </c>
      <c r="U28" s="14"/>
      <c r="V28" s="18">
        <f>+D17</f>
        <v>8110054787.6599998</v>
      </c>
      <c r="W28" s="14"/>
      <c r="AE28" s="3"/>
      <c r="AF28" s="3"/>
      <c r="AG28" s="3"/>
      <c r="AH28" s="3"/>
      <c r="AI28" s="3"/>
    </row>
    <row r="29" spans="1:36" ht="13.5" thickBot="1">
      <c r="A29" s="52" t="s">
        <v>810</v>
      </c>
      <c r="B29" s="12" t="s">
        <v>783</v>
      </c>
      <c r="J29" s="111">
        <v>11</v>
      </c>
      <c r="K29" s="2" t="s">
        <v>640</v>
      </c>
      <c r="L29" s="4" t="s">
        <v>796</v>
      </c>
      <c r="M29" s="1" t="s">
        <v>376</v>
      </c>
      <c r="N29" s="177">
        <v>0</v>
      </c>
      <c r="O29" s="14"/>
      <c r="P29" s="110">
        <v>13</v>
      </c>
      <c r="Q29" s="2" t="s">
        <v>645</v>
      </c>
      <c r="R29" s="179"/>
      <c r="S29" s="2"/>
      <c r="T29" s="2"/>
      <c r="U29" s="14"/>
      <c r="V29" s="14"/>
      <c r="W29" s="115">
        <v>5.0000000000000001E-4</v>
      </c>
      <c r="AE29" s="4" t="s">
        <v>484</v>
      </c>
      <c r="AF29" s="19" t="s">
        <v>383</v>
      </c>
      <c r="AG29" s="14">
        <f>'B3-B4'!D23</f>
        <v>236017.21668112191</v>
      </c>
      <c r="AH29" s="14">
        <f>AG29</f>
        <v>236017.21668112191</v>
      </c>
      <c r="AI29" s="37">
        <f>0</f>
        <v>0</v>
      </c>
    </row>
    <row r="30" spans="1:36" ht="13.5" thickBot="1">
      <c r="J30" s="111">
        <v>12</v>
      </c>
      <c r="K30" s="2" t="s">
        <v>740</v>
      </c>
      <c r="L30" s="2"/>
      <c r="M30" s="2"/>
      <c r="N30" s="18">
        <f>SUM(N24:N29)</f>
        <v>193135928.44999999</v>
      </c>
      <c r="O30" s="18"/>
      <c r="P30" s="110">
        <v>14</v>
      </c>
      <c r="Q30" s="2" t="s">
        <v>646</v>
      </c>
      <c r="R30" s="179"/>
      <c r="S30" s="2"/>
      <c r="T30" s="2" t="s">
        <v>858</v>
      </c>
      <c r="U30" s="14"/>
      <c r="V30" s="14"/>
      <c r="W30" s="202">
        <f>IF(W26&lt;0,-V28*W29,V28*W29)</f>
        <v>-4055027.39383</v>
      </c>
    </row>
    <row r="31" spans="1:36" ht="12.75">
      <c r="O31" s="18"/>
      <c r="P31" s="110"/>
      <c r="Q31" s="2"/>
      <c r="R31" s="2"/>
      <c r="S31" s="2"/>
      <c r="T31" s="179"/>
      <c r="U31" s="18"/>
      <c r="V31" s="18"/>
      <c r="W31" s="18"/>
      <c r="AE31" s="4" t="s">
        <v>285</v>
      </c>
      <c r="AF31" s="3"/>
      <c r="AG31" s="14">
        <f>AG25+AG27+AG29</f>
        <v>865530693.4099499</v>
      </c>
      <c r="AH31" s="14">
        <f>AH25+AH27+AH29</f>
        <v>256754182.11718059</v>
      </c>
      <c r="AI31" s="14">
        <f>AI25+AI27+AI29</f>
        <v>608776511.29276931</v>
      </c>
    </row>
    <row r="32" spans="1:36" ht="12.75">
      <c r="J32" s="111">
        <v>13</v>
      </c>
      <c r="K32" s="2" t="s">
        <v>741</v>
      </c>
      <c r="L32" s="2" t="s">
        <v>853</v>
      </c>
      <c r="M32" s="2"/>
      <c r="N32" s="18">
        <f>+R21</f>
        <v>-1128834.2240556497</v>
      </c>
      <c r="O32" s="18"/>
      <c r="P32" s="110">
        <v>15</v>
      </c>
      <c r="Q32" s="2" t="s">
        <v>863</v>
      </c>
      <c r="R32" s="2"/>
      <c r="S32" s="2"/>
      <c r="T32" s="179"/>
      <c r="U32" s="18"/>
      <c r="V32" s="18"/>
      <c r="W32" s="18">
        <f>IF(ABS(W26)&lt;ABS(W30),W26,W30)</f>
        <v>-1128834.2240556497</v>
      </c>
      <c r="AE32" s="3"/>
      <c r="AF32" s="3"/>
      <c r="AG32" s="3"/>
      <c r="AH32" s="3"/>
      <c r="AI32" s="3"/>
    </row>
    <row r="33" spans="2:35" ht="12.75">
      <c r="J33" s="111">
        <v>14</v>
      </c>
      <c r="K33" s="2" t="s">
        <v>742</v>
      </c>
      <c r="L33" s="2" t="s">
        <v>854</v>
      </c>
      <c r="N33" s="3">
        <f>+W32</f>
        <v>-1128834.2240556497</v>
      </c>
      <c r="O33" s="18"/>
      <c r="P33" s="18"/>
      <c r="Q33" s="4" t="s">
        <v>805</v>
      </c>
      <c r="R33" s="2"/>
      <c r="S33" s="2"/>
      <c r="T33" s="18"/>
      <c r="U33" s="18"/>
      <c r="V33" s="18"/>
      <c r="W33" s="14"/>
      <c r="Y33" s="4" t="s">
        <v>615</v>
      </c>
      <c r="Z33" s="24"/>
      <c r="AA33" s="24"/>
      <c r="AB33" s="18" t="s">
        <v>975</v>
      </c>
      <c r="AC33" s="24"/>
      <c r="AE33" s="4" t="s">
        <v>779</v>
      </c>
      <c r="AF33" s="3"/>
      <c r="AG33" s="3"/>
      <c r="AH33" s="3"/>
      <c r="AI33" s="3"/>
    </row>
    <row r="34" spans="2:35" ht="12.75">
      <c r="J34" s="111"/>
      <c r="K34" s="4"/>
      <c r="L34" s="2"/>
      <c r="M34" s="2"/>
      <c r="N34" s="18"/>
      <c r="O34" s="18"/>
      <c r="P34" s="18"/>
      <c r="Q34" s="2"/>
      <c r="R34" s="2"/>
      <c r="S34" s="2"/>
      <c r="T34" s="18"/>
      <c r="U34" s="18"/>
      <c r="V34" s="18"/>
      <c r="W34" s="18"/>
      <c r="Y34" s="2" t="s">
        <v>709</v>
      </c>
      <c r="Z34" s="18"/>
      <c r="AA34" s="18"/>
      <c r="AB34" s="24" t="s">
        <v>617</v>
      </c>
      <c r="AC34" s="18"/>
      <c r="AE34" s="4" t="s">
        <v>599</v>
      </c>
      <c r="AF34" s="3"/>
      <c r="AG34" s="3"/>
      <c r="AH34" s="3"/>
      <c r="AI34" s="3"/>
    </row>
    <row r="35" spans="2:35" ht="12.75">
      <c r="B35" s="12" t="s">
        <v>272</v>
      </c>
      <c r="J35" s="111">
        <v>15</v>
      </c>
      <c r="K35" s="2" t="s">
        <v>641</v>
      </c>
      <c r="L35" s="2" t="s">
        <v>1</v>
      </c>
      <c r="M35" s="2"/>
      <c r="N35" s="18">
        <f>+N30-N32+N33</f>
        <v>193135928.44999999</v>
      </c>
      <c r="O35" s="18"/>
      <c r="P35" s="18"/>
      <c r="Q35" s="18"/>
      <c r="R35" s="18"/>
      <c r="S35" s="18"/>
      <c r="T35" s="18"/>
      <c r="U35" s="18"/>
      <c r="V35" s="18"/>
      <c r="W35" s="18"/>
      <c r="Y35" s="30" t="str">
        <f>INPUT!$B$2</f>
        <v>12 Months Ending 12/31/2018 (actuals) for 2019</v>
      </c>
      <c r="Z35" s="3"/>
      <c r="AA35" s="19">
        <v>-1</v>
      </c>
      <c r="AB35" s="19">
        <v>-2</v>
      </c>
      <c r="AC35" s="3"/>
      <c r="AE35" s="4"/>
      <c r="AF35" s="3"/>
      <c r="AG35" s="3"/>
      <c r="AH35" s="3"/>
      <c r="AI35" s="3"/>
    </row>
    <row r="36" spans="2:35" ht="12.75">
      <c r="J36" s="111"/>
      <c r="K36" s="4"/>
      <c r="L36" s="2"/>
      <c r="M36" s="2"/>
      <c r="N36" s="18"/>
      <c r="O36" s="18"/>
      <c r="P36" s="178" t="s">
        <v>744</v>
      </c>
      <c r="Q36" s="2" t="s">
        <v>647</v>
      </c>
      <c r="R36" s="18"/>
      <c r="S36" s="18"/>
      <c r="T36" s="18"/>
      <c r="U36" s="176"/>
      <c r="V36" s="176"/>
      <c r="W36" s="18"/>
      <c r="Y36" s="3"/>
      <c r="Z36" s="3"/>
      <c r="AA36" s="1" t="s">
        <v>1069</v>
      </c>
      <c r="AB36" s="1" t="s">
        <v>1070</v>
      </c>
      <c r="AC36" s="3"/>
      <c r="AE36" s="4" t="s">
        <v>593</v>
      </c>
      <c r="AF36" s="3"/>
      <c r="AG36" s="3"/>
      <c r="AH36" s="3"/>
      <c r="AI36" s="3"/>
    </row>
    <row r="37" spans="2:35" ht="12.75">
      <c r="J37" s="111">
        <v>16</v>
      </c>
      <c r="K37" s="4" t="s">
        <v>882</v>
      </c>
      <c r="L37" s="2"/>
      <c r="M37" s="2"/>
      <c r="N37" s="91">
        <f>+N35/M19</f>
        <v>4.7159282114661236E-2</v>
      </c>
      <c r="O37" s="18"/>
      <c r="P37" s="18"/>
      <c r="Q37" s="2" t="s">
        <v>737</v>
      </c>
      <c r="R37" s="18"/>
      <c r="S37" s="18"/>
      <c r="T37" s="18"/>
      <c r="U37" s="18"/>
      <c r="V37" s="18"/>
      <c r="W37" s="18"/>
      <c r="Y37" s="1"/>
      <c r="Z37" s="1"/>
      <c r="AA37" s="1"/>
      <c r="AB37" s="1"/>
      <c r="AC37" s="1"/>
      <c r="AE37" s="4" t="s">
        <v>664</v>
      </c>
      <c r="AF37" s="3"/>
      <c r="AG37" s="3"/>
      <c r="AH37" s="3"/>
      <c r="AI37" s="3"/>
    </row>
    <row r="38" spans="2:35" ht="12.75">
      <c r="O38" s="14"/>
      <c r="P38" s="18"/>
      <c r="Q38" s="2" t="s">
        <v>738</v>
      </c>
      <c r="R38" s="18"/>
      <c r="S38" s="18"/>
      <c r="T38" s="18"/>
      <c r="U38" s="18"/>
      <c r="V38" s="18"/>
      <c r="W38" s="18"/>
      <c r="Y38" s="110">
        <v>1</v>
      </c>
      <c r="Z38" s="3" t="s">
        <v>610</v>
      </c>
      <c r="AA38" s="3" t="s">
        <v>1058</v>
      </c>
      <c r="AB38" s="3">
        <f>+INPUT!C131</f>
        <v>4006253056.0599999</v>
      </c>
      <c r="AC38" s="3"/>
      <c r="AE38" s="4"/>
      <c r="AF38" s="3"/>
      <c r="AG38" s="3"/>
      <c r="AH38" s="3"/>
      <c r="AI38" s="3"/>
    </row>
    <row r="39" spans="2:35" ht="12.75">
      <c r="J39" s="2"/>
      <c r="K39" s="4"/>
      <c r="O39" s="18"/>
      <c r="P39" s="18"/>
      <c r="Q39" s="2" t="s">
        <v>750</v>
      </c>
      <c r="R39" s="14"/>
      <c r="S39" s="14"/>
      <c r="T39" s="14"/>
      <c r="U39" s="14"/>
      <c r="V39" s="14"/>
      <c r="W39" s="14"/>
      <c r="Y39" s="110"/>
      <c r="Z39" s="14"/>
      <c r="AA39" s="14"/>
      <c r="AB39" s="14"/>
      <c r="AC39" s="14"/>
      <c r="AE39" s="4" t="s">
        <v>773</v>
      </c>
      <c r="AF39" s="3"/>
      <c r="AG39" s="3"/>
      <c r="AH39" s="3"/>
      <c r="AI39" s="3"/>
    </row>
    <row r="40" spans="2:35" ht="12.75">
      <c r="O40" s="18"/>
      <c r="P40" s="18"/>
      <c r="Q40" s="2" t="s">
        <v>739</v>
      </c>
      <c r="R40" s="14"/>
      <c r="S40" s="14"/>
      <c r="T40" s="14"/>
      <c r="U40" s="14"/>
      <c r="V40" s="14"/>
      <c r="W40" s="14"/>
      <c r="Y40" s="110"/>
      <c r="Z40" s="14"/>
      <c r="AA40" s="14"/>
      <c r="AB40" s="14"/>
      <c r="AC40" s="14"/>
      <c r="AE40" s="2" t="s">
        <v>774</v>
      </c>
    </row>
    <row r="41" spans="2:35" ht="12.75">
      <c r="J41" s="216" t="s">
        <v>968</v>
      </c>
      <c r="K41" s="203"/>
      <c r="L41" s="212"/>
      <c r="O41" s="18"/>
      <c r="P41" s="18"/>
      <c r="Q41" s="2" t="s">
        <v>859</v>
      </c>
      <c r="R41" s="14"/>
      <c r="S41" s="14"/>
      <c r="T41" s="14"/>
      <c r="U41" s="14"/>
      <c r="V41" s="14"/>
      <c r="W41" s="14"/>
      <c r="Y41" s="110"/>
      <c r="Z41" s="14"/>
      <c r="AA41" s="14"/>
      <c r="AB41" s="14"/>
      <c r="AC41" s="14"/>
      <c r="AE41" s="4" t="s">
        <v>897</v>
      </c>
    </row>
    <row r="42" spans="2:35" ht="12.75">
      <c r="J42" s="211"/>
      <c r="K42" s="203"/>
      <c r="L42" s="212"/>
      <c r="O42" s="18"/>
      <c r="P42" s="18"/>
      <c r="Q42" s="2"/>
      <c r="R42" s="14"/>
      <c r="S42" s="14"/>
      <c r="T42" s="14"/>
      <c r="U42" s="14"/>
      <c r="V42" s="14"/>
      <c r="W42" s="14"/>
      <c r="Y42" s="110"/>
      <c r="Z42" s="14"/>
      <c r="AA42" s="14"/>
      <c r="AB42" s="14"/>
      <c r="AC42" s="14"/>
      <c r="AE42" s="216" t="s">
        <v>924</v>
      </c>
      <c r="AF42" s="203"/>
      <c r="AG42" s="212"/>
    </row>
    <row r="43" spans="2:35" ht="12.75">
      <c r="J43" s="211" t="s">
        <v>916</v>
      </c>
      <c r="K43" s="211" t="s">
        <v>630</v>
      </c>
      <c r="L43" s="212">
        <f>+N24</f>
        <v>185758244.73999998</v>
      </c>
      <c r="O43" s="18"/>
      <c r="P43" s="18"/>
      <c r="Q43" s="2"/>
      <c r="R43" s="14"/>
      <c r="S43" s="14"/>
      <c r="T43" s="14"/>
      <c r="U43" s="14"/>
      <c r="V43" s="14"/>
      <c r="W43" s="14"/>
      <c r="Y43" s="110"/>
      <c r="Z43" s="14"/>
      <c r="AA43" s="14"/>
      <c r="AB43" s="14"/>
      <c r="AC43" s="14"/>
      <c r="AE43" s="203" t="s">
        <v>919</v>
      </c>
      <c r="AF43" s="212"/>
      <c r="AG43" s="204">
        <v>2115639.9900000002</v>
      </c>
    </row>
    <row r="44" spans="2:35" ht="12.75">
      <c r="J44" s="211" t="s">
        <v>917</v>
      </c>
      <c r="K44" s="211" t="s">
        <v>640</v>
      </c>
      <c r="L44" s="213">
        <v>0</v>
      </c>
      <c r="O44" s="18"/>
      <c r="P44" s="18"/>
      <c r="Q44" s="2"/>
      <c r="R44" s="14"/>
      <c r="S44" s="14"/>
      <c r="T44" s="14"/>
      <c r="U44" s="14"/>
      <c r="V44" s="14"/>
      <c r="W44" s="14"/>
      <c r="Y44" s="110"/>
      <c r="Z44" s="14"/>
      <c r="AA44" s="14"/>
      <c r="AB44" s="14"/>
      <c r="AC44" s="14"/>
      <c r="AE44" s="203" t="s">
        <v>920</v>
      </c>
      <c r="AF44" s="212"/>
      <c r="AG44" s="204">
        <v>7509381.4500000002</v>
      </c>
    </row>
    <row r="45" spans="2:35" ht="12.75">
      <c r="J45" s="214"/>
      <c r="K45" s="215" t="s">
        <v>918</v>
      </c>
      <c r="L45" s="212">
        <f>+L43+L44</f>
        <v>185758244.73999998</v>
      </c>
      <c r="O45" s="18"/>
      <c r="P45" s="18"/>
      <c r="Q45" s="2"/>
      <c r="R45" s="14"/>
      <c r="S45" s="14"/>
      <c r="T45" s="14"/>
      <c r="U45" s="14"/>
      <c r="V45" s="14"/>
      <c r="W45" s="14"/>
      <c r="Y45" s="110"/>
      <c r="Z45" s="14"/>
      <c r="AA45" s="14"/>
      <c r="AB45" s="14"/>
      <c r="AC45" s="14"/>
      <c r="AE45" s="203" t="s">
        <v>921</v>
      </c>
      <c r="AF45" s="212"/>
      <c r="AG45" s="204">
        <v>1855896.3</v>
      </c>
    </row>
    <row r="46" spans="2:35" ht="12.75">
      <c r="J46" s="211"/>
      <c r="K46" s="203"/>
      <c r="L46" s="212"/>
      <c r="O46" s="18"/>
      <c r="P46" s="18"/>
      <c r="Q46" s="2"/>
      <c r="R46" s="14"/>
      <c r="S46" s="14"/>
      <c r="T46" s="14"/>
      <c r="U46" s="14"/>
      <c r="V46" s="14"/>
      <c r="W46" s="14"/>
      <c r="Y46" s="110"/>
      <c r="Z46" s="104" t="s">
        <v>611</v>
      </c>
      <c r="AA46" s="3"/>
      <c r="AB46" s="3"/>
      <c r="AC46" s="14"/>
      <c r="AE46" s="203" t="s">
        <v>922</v>
      </c>
      <c r="AF46" s="212"/>
      <c r="AG46" s="209">
        <v>6204406</v>
      </c>
    </row>
    <row r="47" spans="2:35" ht="12.75">
      <c r="O47" s="18"/>
      <c r="P47" s="18"/>
      <c r="Q47" s="2"/>
      <c r="R47" s="14"/>
      <c r="S47" s="14"/>
      <c r="T47" s="14"/>
      <c r="U47" s="14"/>
      <c r="V47" s="14"/>
      <c r="W47" s="14"/>
      <c r="Y47" s="110">
        <v>2</v>
      </c>
      <c r="Z47" s="14" t="s">
        <v>612</v>
      </c>
      <c r="AA47" s="14" t="s">
        <v>1059</v>
      </c>
      <c r="AB47" s="3">
        <f>+INPUT!C128</f>
        <v>0</v>
      </c>
      <c r="AC47" s="14"/>
      <c r="AE47" s="203" t="s">
        <v>923</v>
      </c>
      <c r="AF47" s="212"/>
      <c r="AG47" s="204">
        <f>SUM(AG43:AG46)</f>
        <v>17685323.740000002</v>
      </c>
    </row>
    <row r="48" spans="2:35" ht="12.75">
      <c r="O48" s="18"/>
      <c r="P48" s="18"/>
      <c r="Q48" s="2"/>
      <c r="R48" s="14"/>
      <c r="S48" s="14"/>
      <c r="T48" s="14"/>
      <c r="U48" s="14"/>
      <c r="V48" s="14"/>
      <c r="W48" s="14"/>
      <c r="Y48" s="110">
        <v>3</v>
      </c>
      <c r="Z48" s="3" t="s">
        <v>613</v>
      </c>
      <c r="AA48" s="3" t="s">
        <v>1060</v>
      </c>
      <c r="AB48" s="3">
        <f>INPUT!C129</f>
        <v>-3463213</v>
      </c>
      <c r="AC48" s="14"/>
      <c r="AE48" s="2" t="s">
        <v>1041</v>
      </c>
    </row>
    <row r="49" spans="11:31" ht="12.75">
      <c r="O49" s="18"/>
      <c r="P49" s="18"/>
      <c r="R49" s="14"/>
      <c r="S49" s="14"/>
      <c r="T49" s="14"/>
      <c r="U49" s="14"/>
      <c r="V49" s="14"/>
      <c r="W49" s="14"/>
      <c r="Y49" s="110">
        <v>4</v>
      </c>
      <c r="Z49" s="3" t="s">
        <v>614</v>
      </c>
      <c r="AA49" s="3" t="s">
        <v>1061</v>
      </c>
      <c r="AB49" s="3">
        <f>INPUT!C130</f>
        <v>-4942664.5999999987</v>
      </c>
      <c r="AC49" s="14"/>
      <c r="AE49" s="2" t="s">
        <v>272</v>
      </c>
    </row>
    <row r="50" spans="11:31" ht="12.75">
      <c r="O50" s="18"/>
      <c r="P50" s="18"/>
      <c r="Q50" s="2" t="s">
        <v>272</v>
      </c>
      <c r="R50" s="14"/>
      <c r="S50" s="14"/>
      <c r="T50" s="14"/>
      <c r="U50" s="14"/>
      <c r="V50" s="14"/>
      <c r="W50" s="14"/>
      <c r="Y50" s="110"/>
      <c r="Z50" s="14"/>
      <c r="AA50" s="14"/>
      <c r="AB50" s="14"/>
      <c r="AC50" s="14"/>
    </row>
    <row r="51" spans="11:31" ht="12.75">
      <c r="O51" s="18"/>
      <c r="P51" s="18"/>
      <c r="Q51" s="2"/>
      <c r="R51" s="14"/>
      <c r="S51" s="14"/>
      <c r="T51" s="14"/>
      <c r="U51" s="14"/>
      <c r="V51" s="14"/>
      <c r="W51" s="14"/>
      <c r="AC51" s="14"/>
      <c r="AE51" s="2" t="s">
        <v>272</v>
      </c>
    </row>
    <row r="52" spans="11:31" ht="12.75">
      <c r="O52" s="18"/>
      <c r="P52" s="14"/>
      <c r="R52" s="18"/>
      <c r="S52" s="18"/>
      <c r="T52" s="18"/>
      <c r="U52" s="18"/>
      <c r="V52" s="18"/>
      <c r="W52" s="18"/>
      <c r="Y52" s="110">
        <v>5</v>
      </c>
      <c r="Z52" s="3" t="s">
        <v>711</v>
      </c>
      <c r="AA52" s="52" t="s">
        <v>1045</v>
      </c>
      <c r="AB52" s="3">
        <f>+AB38-AB47-AB48-AB49</f>
        <v>4014658933.6599998</v>
      </c>
      <c r="AC52" s="3"/>
    </row>
    <row r="53" spans="11:31" ht="12.75">
      <c r="M53" s="158"/>
      <c r="N53" s="158"/>
      <c r="O53" s="115"/>
      <c r="P53" s="18"/>
      <c r="R53" s="18"/>
      <c r="S53" s="18"/>
      <c r="T53" s="18"/>
      <c r="U53" s="18"/>
      <c r="V53" s="18"/>
      <c r="W53" s="18"/>
      <c r="AC53" s="14"/>
    </row>
    <row r="54" spans="11:31" ht="12.75">
      <c r="K54" s="166"/>
      <c r="L54" s="160"/>
      <c r="M54" s="160"/>
      <c r="N54" s="160"/>
      <c r="O54" s="14"/>
      <c r="P54" s="18"/>
      <c r="R54" s="115"/>
      <c r="S54" s="115"/>
      <c r="T54" s="115"/>
      <c r="U54" s="115"/>
      <c r="V54" s="115"/>
      <c r="W54" s="115"/>
      <c r="AC54" s="3"/>
    </row>
    <row r="55" spans="11:31" ht="12.75">
      <c r="K55" s="169"/>
      <c r="L55" s="170"/>
      <c r="M55" s="170"/>
      <c r="N55" s="167"/>
      <c r="O55" s="18"/>
      <c r="P55" s="115"/>
      <c r="Q55" s="2"/>
      <c r="R55" s="14"/>
      <c r="S55" s="14"/>
      <c r="T55" s="14"/>
      <c r="U55" s="14"/>
      <c r="V55" s="14"/>
      <c r="W55" s="14"/>
      <c r="AC55" s="14"/>
    </row>
    <row r="56" spans="11:31" ht="12.75">
      <c r="K56" s="169"/>
      <c r="L56" s="170"/>
      <c r="M56" s="170"/>
      <c r="N56" s="167"/>
      <c r="O56" s="14"/>
      <c r="P56" s="18"/>
      <c r="Q56" s="14"/>
      <c r="R56" s="14"/>
      <c r="S56" s="14"/>
      <c r="T56" s="14"/>
      <c r="U56" s="14"/>
      <c r="V56" s="14"/>
      <c r="W56" s="14"/>
      <c r="AC56" s="3"/>
    </row>
    <row r="57" spans="11:31" ht="12.75">
      <c r="K57" s="169"/>
      <c r="L57" s="170"/>
      <c r="M57" s="170"/>
      <c r="N57" s="167"/>
      <c r="O57" s="18"/>
      <c r="P57" s="14"/>
      <c r="Q57" s="18"/>
      <c r="R57" s="18"/>
      <c r="S57" s="18"/>
      <c r="T57" s="18"/>
      <c r="U57" s="18"/>
      <c r="V57" s="18"/>
      <c r="W57" s="18"/>
      <c r="AC57" s="113"/>
    </row>
    <row r="58" spans="11:31" ht="12.75">
      <c r="K58" s="169"/>
      <c r="L58" s="170"/>
      <c r="M58" s="170"/>
      <c r="N58" s="167"/>
      <c r="O58" s="18"/>
      <c r="P58" s="18"/>
      <c r="Q58" s="18"/>
      <c r="R58" s="174"/>
      <c r="S58" s="175"/>
      <c r="T58" s="161"/>
      <c r="U58" s="18"/>
      <c r="V58" s="18"/>
      <c r="W58" s="18"/>
      <c r="Y58" s="113"/>
      <c r="Z58" s="113"/>
      <c r="AA58" s="113"/>
      <c r="AB58" s="113"/>
      <c r="AC58" s="113"/>
    </row>
    <row r="59" spans="11:31" ht="12.75">
      <c r="K59" s="169"/>
      <c r="L59" s="170"/>
      <c r="M59" s="170"/>
      <c r="N59" s="167"/>
      <c r="O59" s="18"/>
      <c r="P59" s="18"/>
      <c r="Q59" s="18"/>
      <c r="R59" s="174"/>
      <c r="S59" s="175"/>
      <c r="T59" s="161"/>
      <c r="U59" s="18"/>
      <c r="V59" s="18"/>
      <c r="W59" s="18"/>
      <c r="Y59" s="114"/>
      <c r="Z59" s="114"/>
      <c r="AA59" s="114"/>
      <c r="AB59" s="114"/>
      <c r="AC59" s="114"/>
    </row>
    <row r="60" spans="11:31" ht="12.75">
      <c r="K60" s="171"/>
      <c r="L60" s="172"/>
      <c r="M60" s="172"/>
      <c r="N60" s="165"/>
      <c r="O60" s="18"/>
      <c r="P60" s="18"/>
      <c r="Q60" s="18"/>
      <c r="R60" s="174"/>
      <c r="S60" s="175"/>
      <c r="T60" s="161"/>
      <c r="U60" s="18"/>
      <c r="V60" s="18"/>
      <c r="W60" s="18"/>
      <c r="Y60" s="32"/>
      <c r="Z60" s="114"/>
      <c r="AA60" s="114"/>
      <c r="AB60" s="3"/>
      <c r="AC60" s="3"/>
    </row>
    <row r="61" spans="11:31" ht="12.75">
      <c r="K61" s="168"/>
      <c r="L61" s="164"/>
      <c r="M61" s="164"/>
      <c r="N61" s="173"/>
      <c r="O61" s="3"/>
      <c r="P61" s="18"/>
      <c r="Q61" s="3"/>
      <c r="R61" s="3"/>
      <c r="S61" s="3"/>
      <c r="T61" s="3"/>
      <c r="U61" s="3"/>
      <c r="V61" s="3"/>
      <c r="W61" s="3"/>
    </row>
    <row r="62" spans="11:31" ht="12.75">
      <c r="O62" s="91"/>
      <c r="P62" s="3"/>
      <c r="Q62" s="91"/>
      <c r="R62" s="91"/>
      <c r="S62" s="91"/>
      <c r="T62" s="91"/>
      <c r="U62" s="91"/>
      <c r="V62" s="91"/>
      <c r="W62" s="91"/>
    </row>
    <row r="63" spans="11:31" ht="12.75">
      <c r="P63" s="91"/>
    </row>
    <row r="65" spans="15:26" ht="102.75" customHeight="1">
      <c r="O65" s="157"/>
      <c r="Q65" s="157"/>
      <c r="R65" s="157"/>
      <c r="S65" s="157"/>
      <c r="T65" s="157"/>
      <c r="U65" s="157"/>
      <c r="V65" s="157"/>
      <c r="W65" s="157"/>
    </row>
    <row r="66" spans="15:26" ht="12.75">
      <c r="O66" s="158"/>
      <c r="P66" s="157"/>
      <c r="Q66" s="158"/>
      <c r="R66" s="158"/>
      <c r="S66" s="158"/>
      <c r="T66" s="158"/>
      <c r="U66" s="158"/>
      <c r="V66" s="158"/>
      <c r="W66" s="158"/>
      <c r="X66" s="159"/>
      <c r="Y66" s="340"/>
      <c r="Z66" s="340"/>
    </row>
    <row r="67" spans="15:26" ht="12.75">
      <c r="O67" s="160"/>
      <c r="P67" s="158"/>
      <c r="Q67" s="160"/>
      <c r="R67" s="160"/>
      <c r="S67" s="160"/>
      <c r="T67" s="160"/>
      <c r="U67" s="160"/>
      <c r="V67" s="160"/>
      <c r="W67" s="160"/>
    </row>
    <row r="68" spans="15:26" ht="12.75">
      <c r="O68" s="161"/>
      <c r="P68" s="160"/>
      <c r="Q68" s="161"/>
      <c r="R68" s="161"/>
      <c r="S68" s="161"/>
      <c r="T68" s="161"/>
      <c r="U68" s="161"/>
      <c r="V68" s="161"/>
      <c r="W68" s="161"/>
    </row>
    <row r="69" spans="15:26" ht="12.75">
      <c r="O69" s="161"/>
      <c r="P69" s="161"/>
      <c r="Q69" s="161"/>
      <c r="R69" s="161"/>
      <c r="S69" s="161"/>
      <c r="T69" s="161"/>
      <c r="U69" s="161"/>
      <c r="V69" s="161"/>
      <c r="W69" s="161"/>
    </row>
    <row r="70" spans="15:26" ht="12.75">
      <c r="O70" s="161"/>
      <c r="P70" s="161"/>
      <c r="Q70" s="161"/>
      <c r="R70" s="161"/>
      <c r="S70" s="161"/>
      <c r="T70" s="161"/>
      <c r="U70" s="161"/>
      <c r="V70" s="161"/>
      <c r="W70" s="161"/>
    </row>
    <row r="71" spans="15:26" ht="12.75">
      <c r="O71" s="161"/>
      <c r="P71" s="161"/>
      <c r="Q71" s="161"/>
      <c r="R71" s="161"/>
      <c r="S71" s="161"/>
      <c r="T71" s="161"/>
      <c r="U71" s="161"/>
      <c r="V71" s="161"/>
      <c r="W71" s="161"/>
    </row>
    <row r="72" spans="15:26" ht="12.75">
      <c r="O72" s="161"/>
      <c r="P72" s="161"/>
      <c r="Q72" s="161"/>
      <c r="R72" s="161"/>
      <c r="S72" s="161"/>
      <c r="T72" s="161"/>
      <c r="U72" s="161"/>
      <c r="V72" s="161"/>
      <c r="W72" s="161"/>
    </row>
    <row r="73" spans="15:26" ht="12.75">
      <c r="O73" s="165"/>
      <c r="P73" s="161"/>
      <c r="Q73" s="165"/>
      <c r="R73" s="165"/>
      <c r="S73" s="165"/>
      <c r="T73" s="165"/>
      <c r="U73" s="165"/>
      <c r="V73" s="165"/>
      <c r="W73" s="165"/>
      <c r="X73" s="162"/>
      <c r="Y73" s="159"/>
      <c r="Z73" s="163"/>
    </row>
    <row r="74" spans="15:26" ht="12.75">
      <c r="O74" s="163"/>
      <c r="P74" s="165"/>
      <c r="Q74" s="163"/>
      <c r="R74" s="163"/>
      <c r="S74" s="163"/>
      <c r="T74" s="163"/>
      <c r="U74" s="163"/>
      <c r="V74" s="163"/>
      <c r="W74" s="163"/>
      <c r="X74" s="159"/>
      <c r="Y74" s="159"/>
      <c r="Z74" s="163"/>
    </row>
    <row r="75" spans="15:26" ht="12.75">
      <c r="P75" s="163"/>
    </row>
  </sheetData>
  <mergeCells count="2">
    <mergeCell ref="Y66:Z66"/>
    <mergeCell ref="V8:W8"/>
  </mergeCells>
  <phoneticPr fontId="15" type="noConversion"/>
  <printOptions horizontalCentered="1"/>
  <pageMargins left="0.5" right="0.5" top="1" bottom="1" header="0.5" footer="0.5"/>
  <pageSetup scale="74" orientation="landscape" r:id="rId1"/>
  <headerFooter alignWithMargins="0"/>
  <colBreaks count="4" manualBreakCount="4">
    <brk id="9" max="1048575" man="1"/>
    <brk id="15" max="1048575" man="1"/>
    <brk id="24" max="1048575" man="1"/>
    <brk id="3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5BA33481-BD35-4B36-903D-4AB9A5BF87D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33</vt:i4>
      </vt:variant>
    </vt:vector>
  </HeadingPairs>
  <TitlesOfParts>
    <vt:vector size="47" baseType="lpstr">
      <vt:lpstr>INPUT</vt:lpstr>
      <vt:lpstr>B1-B2</vt:lpstr>
      <vt:lpstr>B3-B4</vt:lpstr>
      <vt:lpstr>B5</vt:lpstr>
      <vt:lpstr>B6</vt:lpstr>
      <vt:lpstr>B6a</vt:lpstr>
      <vt:lpstr>B7</vt:lpstr>
      <vt:lpstr>B8-B10</vt:lpstr>
      <vt:lpstr>B11-B14</vt:lpstr>
      <vt:lpstr>B15</vt:lpstr>
      <vt:lpstr>B16</vt:lpstr>
      <vt:lpstr>B17-B18</vt:lpstr>
      <vt:lpstr>B19</vt:lpstr>
      <vt:lpstr>B20</vt:lpstr>
      <vt:lpstr>Cname</vt:lpstr>
      <vt:lpstr>EIGHT</vt:lpstr>
      <vt:lpstr>EIGHTEEN</vt:lpstr>
      <vt:lpstr>ELEVEN</vt:lpstr>
      <vt:lpstr>FIVE</vt:lpstr>
      <vt:lpstr>FOUR</vt:lpstr>
      <vt:lpstr>NINE</vt:lpstr>
      <vt:lpstr>NINETEEN</vt:lpstr>
      <vt:lpstr>NUMVAL</vt:lpstr>
      <vt:lpstr>'B11-B14'!Print_Area</vt:lpstr>
      <vt:lpstr>'B16'!Print_Area</vt:lpstr>
      <vt:lpstr>'B17-B18'!Print_Area</vt:lpstr>
      <vt:lpstr>'B19'!Print_Area</vt:lpstr>
      <vt:lpstr>'B1-B2'!Print_Area</vt:lpstr>
      <vt:lpstr>'B3-B4'!Print_Area</vt:lpstr>
      <vt:lpstr>'B5'!Print_Area</vt:lpstr>
      <vt:lpstr>'B6'!Print_Area</vt:lpstr>
      <vt:lpstr>B6a!Print_Area</vt:lpstr>
      <vt:lpstr>'B7'!Print_Area</vt:lpstr>
      <vt:lpstr>'B8-B10'!Print_Area</vt:lpstr>
      <vt:lpstr>INPUT!Print_Area</vt:lpstr>
      <vt:lpstr>'B7'!Print_Titles</vt:lpstr>
      <vt:lpstr>INPUT!Print_Titles</vt:lpstr>
      <vt:lpstr>SEVEN</vt:lpstr>
      <vt:lpstr>SIX</vt:lpstr>
      <vt:lpstr>TEN</vt:lpstr>
      <vt:lpstr>THIRTEEN</vt:lpstr>
      <vt:lpstr>THREE</vt:lpstr>
      <vt:lpstr>TWELVE</vt:lpstr>
      <vt:lpstr>TWENTY</vt:lpstr>
      <vt:lpstr>TWENTYONE</vt:lpstr>
      <vt:lpstr>TWENTYTHREE</vt:lpstr>
      <vt:lpstr>TWENTYTWO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 Weiss</dc:creator>
  <cp:keywords>AEP Internal</cp:keywords>
  <cp:lastModifiedBy>s134129</cp:lastModifiedBy>
  <cp:lastPrinted>2019-05-30T15:04:47Z</cp:lastPrinted>
  <dcterms:created xsi:type="dcterms:W3CDTF">2003-11-18T20:36:05Z</dcterms:created>
  <dcterms:modified xsi:type="dcterms:W3CDTF">2019-05-30T15:33:36Z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d1fe1fd3-9cca-4e4a-b646-1a17052e1616</vt:lpwstr>
  </property>
  <property fmtid="{D5CDD505-2E9C-101B-9397-08002B2CF9AE}" pid="3" name="bjSaver">
    <vt:lpwstr>HTegTYUHA5Eno747PWutbmINAXeRHZsu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