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12" yWindow="300" windowWidth="15360" windowHeight="4488" tabRatio="1000" activeTab="14"/>
  </bookViews>
  <sheets>
    <sheet name="WP-1" sheetId="50" r:id="rId1"/>
    <sheet name="WP-2" sheetId="19" r:id="rId2"/>
    <sheet name="WP-3" sheetId="18" r:id="rId3"/>
    <sheet name="WP-4" sheetId="60" r:id="rId4"/>
    <sheet name="WP-5a" sheetId="14" r:id="rId5"/>
    <sheet name="WP-5b" sheetId="15" r:id="rId6"/>
    <sheet name="WP-5c" sheetId="43" r:id="rId7"/>
    <sheet name="WP-6a" sheetId="44" r:id="rId8"/>
    <sheet name="WP-6b" sheetId="11" r:id="rId9"/>
    <sheet name="WP-6c" sheetId="12" r:id="rId10"/>
    <sheet name="WP-6d" sheetId="38" r:id="rId11"/>
    <sheet name="WP-7" sheetId="62" r:id="rId12"/>
    <sheet name="WP-8a" sheetId="66" r:id="rId13"/>
    <sheet name="WP-8ai" sheetId="67" r:id="rId14"/>
    <sheet name="WP-8b" sheetId="8" r:id="rId15"/>
    <sheet name="WP-8c" sheetId="49" r:id="rId16"/>
    <sheet name="WP-9a" sheetId="6" r:id="rId17"/>
    <sheet name="WP-9b" sheetId="5" r:id="rId18"/>
    <sheet name="WP-10a" sheetId="25" r:id="rId19"/>
    <sheet name="WP-11" sheetId="22" r:id="rId20"/>
    <sheet name="WP-12a" sheetId="48" r:id="rId21"/>
    <sheet name="WP-12b" sheetId="40" r:id="rId22"/>
    <sheet name="WP-13" sheetId="21" r:id="rId23"/>
    <sheet name="WP-13a" sheetId="57" r:id="rId24"/>
    <sheet name="WP-14" sheetId="3" r:id="rId25"/>
    <sheet name="WP-15a" sheetId="30" r:id="rId26"/>
    <sheet name="WP-15B" sheetId="65" r:id="rId27"/>
    <sheet name="WP-15c" sheetId="28" r:id="rId28"/>
    <sheet name="WP-15d" sheetId="36" r:id="rId29"/>
    <sheet name="WP-16" sheetId="35" r:id="rId30"/>
    <sheet name="WP-17" sheetId="59" r:id="rId31"/>
    <sheet name="WP-18" sheetId="64" r:id="rId32"/>
    <sheet name="WP-19" sheetId="54" r:id="rId33"/>
  </sheets>
  <externalReferences>
    <externalReference r:id="rId34"/>
  </externalReferences>
  <definedNames>
    <definedName name="Fuel_Summary_2008">'[1]2008 Acct 501_547 Pivot'!$A$5:$M$13</definedName>
    <definedName name="HEADA" localSheetId="13">#REF!</definedName>
    <definedName name="HEADA">'WP-8a'!$A$1:$K$6</definedName>
    <definedName name="HEADB" localSheetId="13">'WP-8ai'!$A$1:$K$9</definedName>
    <definedName name="HEADB">#REF!</definedName>
    <definedName name="HEADC" localSheetId="13">#REF!</definedName>
    <definedName name="HEADC">#REF!</definedName>
    <definedName name="HEADD" localSheetId="13">#REF!</definedName>
    <definedName name="HEADD">#REF!</definedName>
    <definedName name="PAGEA" localSheetId="13">#REF!</definedName>
    <definedName name="PAGEA">'WP-8a'!#REF!</definedName>
    <definedName name="PAGEB" localSheetId="13">'WP-8ai'!#REF!</definedName>
    <definedName name="PAGEB">#REF!</definedName>
    <definedName name="PAGEC" localSheetId="13">#REF!</definedName>
    <definedName name="PAGEC">#REF!</definedName>
    <definedName name="PAGED" localSheetId="13">#REF!</definedName>
    <definedName name="PAGED">#REF!</definedName>
    <definedName name="_xlnm.Print_Area" localSheetId="0">'WP-1'!$A$1:$H$28</definedName>
    <definedName name="_xlnm.Print_Area" localSheetId="19">'WP-11'!$A$1:$F$54</definedName>
    <definedName name="_xlnm.Print_Area" localSheetId="21">'WP-12b'!$A$1:$K$20</definedName>
    <definedName name="_xlnm.Print_Area" localSheetId="22">'WP-13'!$A$1:$P$57</definedName>
    <definedName name="_xlnm.Print_Area" localSheetId="23">'WP-13a'!$A$1:$H$17</definedName>
    <definedName name="_xlnm.Print_Area" localSheetId="24">'WP-14'!$A$1:$J$74</definedName>
    <definedName name="_xlnm.Print_Area" localSheetId="25">'WP-15a'!$A$1:$F$15</definedName>
    <definedName name="_xlnm.Print_Area" localSheetId="27">'WP-15c'!$A$1:$F$21</definedName>
    <definedName name="_xlnm.Print_Area" localSheetId="28">'WP-15d'!$A$1:$E$25</definedName>
    <definedName name="_xlnm.Print_Area" localSheetId="29">'WP-16'!$A$1:$J$35</definedName>
    <definedName name="_xlnm.Print_Area" localSheetId="30">'WP-17'!$A$1:$L$14</definedName>
    <definedName name="_xlnm.Print_Area" localSheetId="31">'WP-18'!$A$1:$H$31</definedName>
    <definedName name="_xlnm.Print_Area" localSheetId="32">'WP-19'!$A$1:$G$27</definedName>
    <definedName name="_xlnm.Print_Area" localSheetId="1">'WP-2'!$A$1:$I$18</definedName>
    <definedName name="_xlnm.Print_Area" localSheetId="2">'WP-3'!$A$1:$D$10</definedName>
    <definedName name="_xlnm.Print_Area" localSheetId="4">'WP-5a'!$A$1:$L$31</definedName>
    <definedName name="_xlnm.Print_Area" localSheetId="6">'WP-5c'!$A$1:$L$45</definedName>
    <definedName name="_xlnm.Print_Area" localSheetId="7">'WP-6a'!$A$1:$G$45</definedName>
    <definedName name="_xlnm.Print_Area" localSheetId="8">'WP-6b'!$A$1:$I$29</definedName>
    <definedName name="_xlnm.Print_Area" localSheetId="9">'WP-6c'!$A$1:$D$51</definedName>
    <definedName name="_xlnm.Print_Area" localSheetId="10">'WP-6d'!$A$1:$D$27</definedName>
    <definedName name="_xlnm.Print_Area" localSheetId="12">'WP-8a'!$A$1:$V$207</definedName>
    <definedName name="_xlnm.Print_Area" localSheetId="13">'WP-8ai'!$A$1:$T$126</definedName>
    <definedName name="_xlnm.Print_Area" localSheetId="15">'WP-8c'!$A$1:$G$130</definedName>
    <definedName name="_xlnm.Print_Area" localSheetId="17">'WP-9b'!$A$1:$G$56</definedName>
    <definedName name="_xlnm.Print_Titles" localSheetId="22">'WP-13'!$1:$2</definedName>
    <definedName name="_xlnm.Print_Titles" localSheetId="24">'WP-14'!$1:$7</definedName>
    <definedName name="_xlnm.Print_Titles" localSheetId="2">'WP-3'!$1:$2</definedName>
    <definedName name="_xlnm.Print_Titles" localSheetId="7">'WP-6a'!$1:$7</definedName>
    <definedName name="_xlnm.Print_Titles" localSheetId="8">'WP-6b'!$1:$19</definedName>
    <definedName name="_xlnm.Print_Titles" localSheetId="12">'WP-8a'!$A:$B,'WP-8a'!$1:$6</definedName>
    <definedName name="_xlnm.Print_Titles" localSheetId="13">'WP-8ai'!$A:$B,'WP-8ai'!$1:$9</definedName>
    <definedName name="Purchased_Power_2008">'[1]2008 Acct 555 Pivot'!$A$5:$M$22</definedName>
    <definedName name="Sales_for_Resale_2008">'[1]2008 Acct 447 Pivot'!$A$5:$M$34</definedName>
  </definedNames>
  <calcPr calcId="145621"/>
</workbook>
</file>

<file path=xl/calcChain.xml><?xml version="1.0" encoding="utf-8"?>
<calcChain xmlns="http://schemas.openxmlformats.org/spreadsheetml/2006/main">
  <c r="C14" i="49" l="1"/>
  <c r="K10" i="21"/>
  <c r="E46" i="3" l="1"/>
  <c r="E42" i="3"/>
  <c r="D13" i="11" l="1"/>
  <c r="D12" i="11"/>
  <c r="D11" i="11"/>
  <c r="D10" i="11"/>
  <c r="D9" i="11"/>
  <c r="G42" i="3" l="1"/>
  <c r="D10" i="6" l="1"/>
  <c r="C10" i="6"/>
  <c r="C15" i="49" l="1"/>
  <c r="K118" i="67" l="1"/>
  <c r="J118" i="67"/>
  <c r="I118" i="67"/>
  <c r="G118" i="67"/>
  <c r="D118" i="67"/>
  <c r="C118" i="67"/>
  <c r="K117" i="67"/>
  <c r="J117" i="67"/>
  <c r="I117" i="67"/>
  <c r="F117" i="67"/>
  <c r="E117" i="67"/>
  <c r="G117" i="67" s="1"/>
  <c r="F116" i="67"/>
  <c r="E116" i="67"/>
  <c r="G116" i="67" s="1"/>
  <c r="F115" i="67"/>
  <c r="E115" i="67"/>
  <c r="D115" i="67"/>
  <c r="C115" i="67"/>
  <c r="G115" i="67" s="1"/>
  <c r="G114" i="67"/>
  <c r="F114" i="67"/>
  <c r="E114" i="67"/>
  <c r="D113" i="67"/>
  <c r="F113" i="67" s="1"/>
  <c r="C113" i="67"/>
  <c r="F112" i="67"/>
  <c r="E112" i="67"/>
  <c r="G112" i="67" s="1"/>
  <c r="F111" i="67"/>
  <c r="E111" i="67"/>
  <c r="G111" i="67" s="1"/>
  <c r="F110" i="67"/>
  <c r="E110" i="67"/>
  <c r="G110" i="67" s="1"/>
  <c r="F109" i="67"/>
  <c r="E109" i="67"/>
  <c r="G109" i="67" s="1"/>
  <c r="F108" i="67"/>
  <c r="E108" i="67"/>
  <c r="G108" i="67" s="1"/>
  <c r="F107" i="67"/>
  <c r="F120" i="67" s="1"/>
  <c r="E107" i="67"/>
  <c r="J106" i="67"/>
  <c r="C106" i="67"/>
  <c r="G106" i="67" s="1"/>
  <c r="K106" i="67"/>
  <c r="D106" i="67"/>
  <c r="D105" i="67"/>
  <c r="K105" i="67"/>
  <c r="J105" i="67"/>
  <c r="C105" i="67"/>
  <c r="I105" i="67"/>
  <c r="D104" i="67"/>
  <c r="K104" i="67"/>
  <c r="J104" i="67"/>
  <c r="I104" i="67"/>
  <c r="C104" i="67"/>
  <c r="G104" i="67" s="1"/>
  <c r="J103" i="67"/>
  <c r="C103" i="67"/>
  <c r="G103" i="67" s="1"/>
  <c r="K103" i="67"/>
  <c r="D103" i="67"/>
  <c r="D102" i="67"/>
  <c r="K102" i="67"/>
  <c r="J102" i="67"/>
  <c r="C102" i="67"/>
  <c r="I102" i="67"/>
  <c r="D101" i="67"/>
  <c r="K101" i="67"/>
  <c r="J101" i="67"/>
  <c r="I101" i="67"/>
  <c r="K100" i="67"/>
  <c r="J100" i="67"/>
  <c r="I100" i="67"/>
  <c r="D100" i="67"/>
  <c r="C100" i="67"/>
  <c r="G100" i="67" s="1"/>
  <c r="J99" i="67"/>
  <c r="K99" i="67"/>
  <c r="I99" i="67"/>
  <c r="D99" i="67"/>
  <c r="K98" i="67"/>
  <c r="J98" i="67"/>
  <c r="C98" i="67"/>
  <c r="G98" i="67" s="1"/>
  <c r="I98" i="67"/>
  <c r="D98" i="67"/>
  <c r="K97" i="67"/>
  <c r="J97" i="67"/>
  <c r="C97" i="67"/>
  <c r="G97" i="67" s="1"/>
  <c r="I97" i="67"/>
  <c r="D97" i="67"/>
  <c r="K96" i="67"/>
  <c r="J96" i="67"/>
  <c r="I96" i="67"/>
  <c r="D96" i="67"/>
  <c r="C96" i="67"/>
  <c r="G96" i="67" s="1"/>
  <c r="J95" i="67"/>
  <c r="C95" i="67"/>
  <c r="G95" i="67" s="1"/>
  <c r="K95" i="67"/>
  <c r="I95" i="67"/>
  <c r="D95" i="67"/>
  <c r="K94" i="67"/>
  <c r="J94" i="67"/>
  <c r="I94" i="67"/>
  <c r="D94" i="67"/>
  <c r="K93" i="67"/>
  <c r="J93" i="67"/>
  <c r="C93" i="67"/>
  <c r="G93" i="67" s="1"/>
  <c r="I93" i="67"/>
  <c r="D93" i="67"/>
  <c r="K92" i="67"/>
  <c r="J92" i="67"/>
  <c r="C92" i="67"/>
  <c r="G92" i="67" s="1"/>
  <c r="I92" i="67"/>
  <c r="D92" i="67"/>
  <c r="K91" i="67"/>
  <c r="J91" i="67"/>
  <c r="I91" i="67"/>
  <c r="D91" i="67"/>
  <c r="K90" i="67"/>
  <c r="J90" i="67"/>
  <c r="C90" i="67"/>
  <c r="G90" i="67" s="1"/>
  <c r="I90" i="67"/>
  <c r="D90" i="67"/>
  <c r="K89" i="67"/>
  <c r="J89" i="67"/>
  <c r="C89" i="67"/>
  <c r="G89" i="67" s="1"/>
  <c r="I89" i="67"/>
  <c r="D89" i="67"/>
  <c r="S124" i="67"/>
  <c r="R124" i="67"/>
  <c r="Q124" i="67"/>
  <c r="K88" i="67"/>
  <c r="J88" i="67"/>
  <c r="C88" i="67"/>
  <c r="G88" i="67" s="1"/>
  <c r="I88" i="67"/>
  <c r="D88" i="67"/>
  <c r="K87" i="67"/>
  <c r="J87" i="67"/>
  <c r="I87" i="67"/>
  <c r="D87" i="67"/>
  <c r="K86" i="67"/>
  <c r="J86" i="67"/>
  <c r="I86" i="67"/>
  <c r="D86" i="67"/>
  <c r="K85" i="67"/>
  <c r="J85" i="67"/>
  <c r="C85" i="67"/>
  <c r="G85" i="67" s="1"/>
  <c r="I85" i="67"/>
  <c r="D85" i="67"/>
  <c r="K84" i="67"/>
  <c r="J84" i="67"/>
  <c r="C84" i="67"/>
  <c r="G84" i="67" s="1"/>
  <c r="I84" i="67"/>
  <c r="D84" i="67"/>
  <c r="D83" i="67"/>
  <c r="K83" i="67"/>
  <c r="J83" i="67"/>
  <c r="I83" i="67"/>
  <c r="K82" i="67"/>
  <c r="J82" i="67"/>
  <c r="I82" i="67"/>
  <c r="D82" i="67"/>
  <c r="C82" i="67"/>
  <c r="G82" i="67" s="1"/>
  <c r="J81" i="67"/>
  <c r="C81" i="67"/>
  <c r="G81" i="67" s="1"/>
  <c r="K81" i="67"/>
  <c r="I81" i="67"/>
  <c r="D81" i="67"/>
  <c r="K80" i="67"/>
  <c r="J80" i="67"/>
  <c r="C80" i="67"/>
  <c r="G80" i="67" s="1"/>
  <c r="I80" i="67"/>
  <c r="D80" i="67"/>
  <c r="D79" i="67"/>
  <c r="K79" i="67"/>
  <c r="J79" i="67"/>
  <c r="I79" i="67"/>
  <c r="K78" i="67"/>
  <c r="J78" i="67"/>
  <c r="I78" i="67"/>
  <c r="D78" i="67"/>
  <c r="K77" i="67"/>
  <c r="J77" i="67"/>
  <c r="I77" i="67"/>
  <c r="D77" i="67"/>
  <c r="J76" i="67"/>
  <c r="C76" i="67"/>
  <c r="G76" i="67" s="1"/>
  <c r="K76" i="67"/>
  <c r="I76" i="67"/>
  <c r="D76" i="67"/>
  <c r="D75" i="67"/>
  <c r="K75" i="67"/>
  <c r="J75" i="67"/>
  <c r="C75" i="67"/>
  <c r="G75" i="67" s="1"/>
  <c r="I75" i="67"/>
  <c r="K74" i="67"/>
  <c r="J74" i="67"/>
  <c r="I74" i="67"/>
  <c r="D74" i="67"/>
  <c r="K73" i="67"/>
  <c r="I73" i="67"/>
  <c r="J73" i="67"/>
  <c r="D73" i="67"/>
  <c r="C73" i="67"/>
  <c r="G73" i="67" s="1"/>
  <c r="J72" i="67"/>
  <c r="C72" i="67"/>
  <c r="G72" i="67" s="1"/>
  <c r="K72" i="67"/>
  <c r="I72" i="67"/>
  <c r="D72" i="67"/>
  <c r="D71" i="67"/>
  <c r="K71" i="67"/>
  <c r="J71" i="67"/>
  <c r="C71" i="67"/>
  <c r="I71" i="67"/>
  <c r="K70" i="67"/>
  <c r="J70" i="67"/>
  <c r="I70" i="67"/>
  <c r="D70" i="67"/>
  <c r="K69" i="67"/>
  <c r="I69" i="67"/>
  <c r="J69" i="67"/>
  <c r="D69" i="67"/>
  <c r="C69" i="67"/>
  <c r="G69" i="67" s="1"/>
  <c r="J68" i="67"/>
  <c r="C68" i="67"/>
  <c r="G68" i="67" s="1"/>
  <c r="K68" i="67"/>
  <c r="I68" i="67"/>
  <c r="D68" i="67"/>
  <c r="D67" i="67"/>
  <c r="K67" i="67"/>
  <c r="J67" i="67"/>
  <c r="I67" i="67"/>
  <c r="K66" i="67"/>
  <c r="J66" i="67"/>
  <c r="I66" i="67"/>
  <c r="D66" i="67"/>
  <c r="K65" i="67"/>
  <c r="I65" i="67"/>
  <c r="J65" i="67"/>
  <c r="D65" i="67"/>
  <c r="K64" i="67"/>
  <c r="J64" i="67"/>
  <c r="C64" i="67"/>
  <c r="I64" i="67"/>
  <c r="D63" i="67"/>
  <c r="K63" i="67"/>
  <c r="J63" i="67"/>
  <c r="C63" i="67"/>
  <c r="G63" i="67" s="1"/>
  <c r="I63" i="67"/>
  <c r="K62" i="67"/>
  <c r="J62" i="67"/>
  <c r="I62" i="67"/>
  <c r="D62" i="67"/>
  <c r="K61" i="67"/>
  <c r="I61" i="67"/>
  <c r="J61" i="67"/>
  <c r="D61" i="67"/>
  <c r="C61" i="67"/>
  <c r="G61" i="67" s="1"/>
  <c r="J60" i="67"/>
  <c r="C60" i="67"/>
  <c r="G60" i="67" s="1"/>
  <c r="K60" i="67"/>
  <c r="I60" i="67"/>
  <c r="D60" i="67"/>
  <c r="D59" i="67"/>
  <c r="K59" i="67"/>
  <c r="J59" i="67"/>
  <c r="C59" i="67"/>
  <c r="I59" i="67"/>
  <c r="D58" i="67"/>
  <c r="K58" i="67"/>
  <c r="J58" i="67"/>
  <c r="I58" i="67"/>
  <c r="K57" i="67"/>
  <c r="J57" i="67"/>
  <c r="I57" i="67"/>
  <c r="D57" i="67"/>
  <c r="C57" i="67"/>
  <c r="G57" i="67" s="1"/>
  <c r="J56" i="67"/>
  <c r="C56" i="67"/>
  <c r="G56" i="67" s="1"/>
  <c r="K56" i="67"/>
  <c r="I56" i="67"/>
  <c r="D56" i="67"/>
  <c r="J55" i="67"/>
  <c r="C55" i="67"/>
  <c r="G55" i="67" s="1"/>
  <c r="K55" i="67"/>
  <c r="D55" i="67"/>
  <c r="D54" i="67"/>
  <c r="K54" i="67"/>
  <c r="J54" i="67"/>
  <c r="I54" i="67"/>
  <c r="C54" i="67"/>
  <c r="G54" i="67" s="1"/>
  <c r="I53" i="67"/>
  <c r="J53" i="67"/>
  <c r="K53" i="67"/>
  <c r="C53" i="67"/>
  <c r="I52" i="67"/>
  <c r="J52" i="67"/>
  <c r="C52" i="67"/>
  <c r="G52" i="67" s="1"/>
  <c r="K52" i="67"/>
  <c r="D52" i="67"/>
  <c r="D51" i="67"/>
  <c r="K51" i="67"/>
  <c r="J51" i="67"/>
  <c r="C51" i="67"/>
  <c r="G51" i="67" s="1"/>
  <c r="K50" i="67"/>
  <c r="J50" i="67"/>
  <c r="I50" i="67"/>
  <c r="K49" i="67"/>
  <c r="I49" i="67"/>
  <c r="J49" i="67"/>
  <c r="D49" i="67"/>
  <c r="C49" i="67"/>
  <c r="G49" i="67" s="1"/>
  <c r="I48" i="67"/>
  <c r="J48" i="67"/>
  <c r="C48" i="67"/>
  <c r="G48" i="67" s="1"/>
  <c r="K48" i="67"/>
  <c r="D48" i="67"/>
  <c r="D47" i="67"/>
  <c r="K47" i="67"/>
  <c r="J47" i="67"/>
  <c r="C47" i="67"/>
  <c r="G47" i="67" s="1"/>
  <c r="D46" i="67"/>
  <c r="K46" i="67"/>
  <c r="J46" i="67"/>
  <c r="I46" i="67"/>
  <c r="K45" i="67"/>
  <c r="I45" i="67"/>
  <c r="J45" i="67"/>
  <c r="D45" i="67"/>
  <c r="C45" i="67"/>
  <c r="G45" i="67" s="1"/>
  <c r="I44" i="67"/>
  <c r="J44" i="67"/>
  <c r="C44" i="67"/>
  <c r="G44" i="67" s="1"/>
  <c r="K44" i="67"/>
  <c r="D44" i="67"/>
  <c r="D43" i="67"/>
  <c r="K43" i="67"/>
  <c r="J43" i="67"/>
  <c r="C43" i="67"/>
  <c r="G43" i="67" s="1"/>
  <c r="S122" i="67"/>
  <c r="Q122" i="67"/>
  <c r="J42" i="67"/>
  <c r="I42" i="67"/>
  <c r="K41" i="67"/>
  <c r="I41" i="67"/>
  <c r="J41" i="67"/>
  <c r="D41" i="67"/>
  <c r="C41" i="67"/>
  <c r="G41" i="67" s="1"/>
  <c r="I40" i="67"/>
  <c r="J40" i="67"/>
  <c r="C40" i="67"/>
  <c r="G40" i="67" s="1"/>
  <c r="K40" i="67"/>
  <c r="D40" i="67"/>
  <c r="J39" i="67"/>
  <c r="K39" i="67"/>
  <c r="C39" i="67"/>
  <c r="K38" i="67"/>
  <c r="J38" i="67"/>
  <c r="I38" i="67"/>
  <c r="D37" i="67"/>
  <c r="K37" i="67"/>
  <c r="I37" i="67"/>
  <c r="J37" i="67"/>
  <c r="C37" i="67"/>
  <c r="G37" i="67" s="1"/>
  <c r="S123" i="67"/>
  <c r="R123" i="67"/>
  <c r="Q123" i="67"/>
  <c r="J36" i="67"/>
  <c r="C36" i="67"/>
  <c r="G36" i="67" s="1"/>
  <c r="K36" i="67"/>
  <c r="I36" i="67"/>
  <c r="D36" i="67"/>
  <c r="D35" i="67"/>
  <c r="K35" i="67"/>
  <c r="J35" i="67"/>
  <c r="I35" i="67"/>
  <c r="D34" i="67"/>
  <c r="K34" i="67"/>
  <c r="J34" i="67"/>
  <c r="I34" i="67"/>
  <c r="K33" i="67"/>
  <c r="I33" i="67"/>
  <c r="J33" i="67"/>
  <c r="D33" i="67"/>
  <c r="C33" i="67"/>
  <c r="G33" i="67" s="1"/>
  <c r="J32" i="67"/>
  <c r="I32" i="67"/>
  <c r="K32" i="67"/>
  <c r="D32" i="67"/>
  <c r="D31" i="67"/>
  <c r="K31" i="67"/>
  <c r="J31" i="67"/>
  <c r="C31" i="67"/>
  <c r="G31" i="67" s="1"/>
  <c r="D30" i="67"/>
  <c r="K30" i="67"/>
  <c r="J30" i="67"/>
  <c r="I30" i="67"/>
  <c r="D29" i="67"/>
  <c r="K29" i="67"/>
  <c r="I29" i="67"/>
  <c r="J29" i="67"/>
  <c r="M120" i="67"/>
  <c r="K28" i="67"/>
  <c r="A27" i="67"/>
  <c r="A28" i="67" s="1"/>
  <c r="A29" i="67" s="1"/>
  <c r="A30" i="67" s="1"/>
  <c r="A31" i="67" s="1"/>
  <c r="A32" i="67" s="1"/>
  <c r="A33" i="67" s="1"/>
  <c r="A34" i="67" s="1"/>
  <c r="A35" i="67" s="1"/>
  <c r="A36" i="67" s="1"/>
  <c r="A37" i="67" s="1"/>
  <c r="A38" i="67" s="1"/>
  <c r="A39" i="67" s="1"/>
  <c r="A40" i="67" s="1"/>
  <c r="A41" i="67" s="1"/>
  <c r="A42" i="67" s="1"/>
  <c r="A43" i="67" s="1"/>
  <c r="A44" i="67" s="1"/>
  <c r="A45" i="67" s="1"/>
  <c r="A46" i="67" s="1"/>
  <c r="A47" i="67" s="1"/>
  <c r="A48" i="67" s="1"/>
  <c r="A49" i="67" s="1"/>
  <c r="A50" i="67" s="1"/>
  <c r="A51" i="67" s="1"/>
  <c r="A52" i="67" s="1"/>
  <c r="A53" i="67" s="1"/>
  <c r="A54" i="67" s="1"/>
  <c r="A55" i="67" s="1"/>
  <c r="A56" i="67" s="1"/>
  <c r="A57" i="67" s="1"/>
  <c r="A58" i="67" s="1"/>
  <c r="A59" i="67" s="1"/>
  <c r="A60" i="67" s="1"/>
  <c r="A61" i="67" s="1"/>
  <c r="A62" i="67" s="1"/>
  <c r="A63" i="67" s="1"/>
  <c r="A64" i="67" s="1"/>
  <c r="A65" i="67" s="1"/>
  <c r="A66" i="67" s="1"/>
  <c r="A67" i="67" s="1"/>
  <c r="A68" i="67" s="1"/>
  <c r="A69" i="67" s="1"/>
  <c r="A70" i="67" s="1"/>
  <c r="A71" i="67" s="1"/>
  <c r="A72" i="67" s="1"/>
  <c r="A73" i="67" s="1"/>
  <c r="A74" i="67" s="1"/>
  <c r="A75" i="67" s="1"/>
  <c r="A76" i="67" s="1"/>
  <c r="A77" i="67" s="1"/>
  <c r="A78" i="67" s="1"/>
  <c r="A79" i="67" s="1"/>
  <c r="A80" i="67" s="1"/>
  <c r="A81" i="67" s="1"/>
  <c r="A82" i="67" s="1"/>
  <c r="A83" i="67" s="1"/>
  <c r="A84" i="67" s="1"/>
  <c r="A85" i="67" s="1"/>
  <c r="A86" i="67" s="1"/>
  <c r="A87" i="67" s="1"/>
  <c r="A88" i="67" s="1"/>
  <c r="A89" i="67" s="1"/>
  <c r="A90" i="67" s="1"/>
  <c r="A91" i="67" s="1"/>
  <c r="A92" i="67" s="1"/>
  <c r="A93" i="67" s="1"/>
  <c r="A94" i="67" s="1"/>
  <c r="A95" i="67" s="1"/>
  <c r="A96" i="67" s="1"/>
  <c r="A97" i="67" s="1"/>
  <c r="A98" i="67" s="1"/>
  <c r="A99" i="67" s="1"/>
  <c r="A100" i="67" s="1"/>
  <c r="A101" i="67" s="1"/>
  <c r="A102" i="67" s="1"/>
  <c r="A103" i="67" s="1"/>
  <c r="A104" i="67" s="1"/>
  <c r="A105" i="67" s="1"/>
  <c r="A106" i="67" s="1"/>
  <c r="A107" i="67" s="1"/>
  <c r="A108" i="67" s="1"/>
  <c r="A109" i="67" s="1"/>
  <c r="A110" i="67" s="1"/>
  <c r="A111" i="67" s="1"/>
  <c r="A112" i="67" s="1"/>
  <c r="A113" i="67" s="1"/>
  <c r="A114" i="67" s="1"/>
  <c r="A115" i="67" s="1"/>
  <c r="A116" i="67" s="1"/>
  <c r="A117" i="67" s="1"/>
  <c r="A118" i="67" s="1"/>
  <c r="A119" i="67" s="1"/>
  <c r="A120" i="67" s="1"/>
  <c r="F24" i="67"/>
  <c r="E24" i="67"/>
  <c r="Q125" i="67" l="1"/>
  <c r="Q120" i="67"/>
  <c r="C29" i="67"/>
  <c r="G29" i="67" s="1"/>
  <c r="C30" i="67"/>
  <c r="G30" i="67" s="1"/>
  <c r="I31" i="67"/>
  <c r="I28" i="67"/>
  <c r="N120" i="67"/>
  <c r="C35" i="67"/>
  <c r="G35" i="67" s="1"/>
  <c r="C28" i="67"/>
  <c r="J28" i="67"/>
  <c r="J120" i="67" s="1"/>
  <c r="O120" i="67"/>
  <c r="C32" i="67"/>
  <c r="G32" i="67" s="1"/>
  <c r="D39" i="67"/>
  <c r="G39" i="67" s="1"/>
  <c r="R122" i="67"/>
  <c r="G59" i="67"/>
  <c r="G71" i="67"/>
  <c r="Q126" i="67"/>
  <c r="G102" i="67"/>
  <c r="G105" i="67"/>
  <c r="G53" i="67"/>
  <c r="D28" i="67"/>
  <c r="D120" i="67" s="1"/>
  <c r="R125" i="67"/>
  <c r="R120" i="67"/>
  <c r="C34" i="67"/>
  <c r="G34" i="67" s="1"/>
  <c r="C38" i="67"/>
  <c r="I39" i="67"/>
  <c r="C42" i="67"/>
  <c r="I43" i="67"/>
  <c r="C46" i="67"/>
  <c r="G46" i="67" s="1"/>
  <c r="I47" i="67"/>
  <c r="C50" i="67"/>
  <c r="G50" i="67" s="1"/>
  <c r="I51" i="67"/>
  <c r="D53" i="67"/>
  <c r="S125" i="67"/>
  <c r="S120" i="67"/>
  <c r="D38" i="67"/>
  <c r="D42" i="67"/>
  <c r="K42" i="67"/>
  <c r="K120" i="67" s="1"/>
  <c r="D50" i="67"/>
  <c r="D64" i="67"/>
  <c r="G64" i="67" s="1"/>
  <c r="C65" i="67"/>
  <c r="G65" i="67" s="1"/>
  <c r="C77" i="67"/>
  <c r="G77" i="67" s="1"/>
  <c r="C101" i="67"/>
  <c r="G101" i="67" s="1"/>
  <c r="I106" i="67"/>
  <c r="G107" i="67"/>
  <c r="E113" i="67"/>
  <c r="G113" i="67" s="1"/>
  <c r="I55" i="67"/>
  <c r="C58" i="67"/>
  <c r="G58" i="67" s="1"/>
  <c r="C62" i="67"/>
  <c r="G62" i="67" s="1"/>
  <c r="C66" i="67"/>
  <c r="G66" i="67" s="1"/>
  <c r="C70" i="67"/>
  <c r="G70" i="67" s="1"/>
  <c r="C74" i="67"/>
  <c r="G74" i="67" s="1"/>
  <c r="C78" i="67"/>
  <c r="G78" i="67" s="1"/>
  <c r="C86" i="67"/>
  <c r="G86" i="67" s="1"/>
  <c r="C94" i="67"/>
  <c r="G94" i="67" s="1"/>
  <c r="I103" i="67"/>
  <c r="C67" i="67"/>
  <c r="G67" i="67" s="1"/>
  <c r="C79" i="67"/>
  <c r="G79" i="67" s="1"/>
  <c r="C83" i="67"/>
  <c r="G83" i="67" s="1"/>
  <c r="C87" i="67"/>
  <c r="G87" i="67" s="1"/>
  <c r="C91" i="67"/>
  <c r="G91" i="67" s="1"/>
  <c r="C99" i="67"/>
  <c r="G99" i="67" s="1"/>
  <c r="G42" i="67" l="1"/>
  <c r="C120" i="67"/>
  <c r="G28" i="67"/>
  <c r="G120" i="67" s="1"/>
  <c r="E120" i="67"/>
  <c r="G38" i="67"/>
  <c r="I120" i="67"/>
  <c r="C11" i="49" l="1"/>
  <c r="D13" i="57" l="1"/>
  <c r="C13" i="57"/>
  <c r="E11" i="57"/>
  <c r="E10" i="57"/>
  <c r="E9" i="57"/>
  <c r="E8" i="57"/>
  <c r="E13" i="57" l="1"/>
  <c r="F44" i="21" s="1"/>
  <c r="S204" i="66"/>
  <c r="R204" i="66"/>
  <c r="Q204" i="66"/>
  <c r="O204" i="66"/>
  <c r="N204" i="66"/>
  <c r="M204" i="66"/>
  <c r="F204" i="66"/>
  <c r="E204" i="66"/>
  <c r="K202" i="66"/>
  <c r="K204" i="66" s="1"/>
  <c r="J202" i="66"/>
  <c r="I202" i="66"/>
  <c r="D202" i="66"/>
  <c r="D204" i="66" s="1"/>
  <c r="C202" i="66"/>
  <c r="G202" i="66" s="1"/>
  <c r="K201" i="66"/>
  <c r="J201" i="66"/>
  <c r="J204" i="66" s="1"/>
  <c r="I201" i="66"/>
  <c r="I204" i="66" s="1"/>
  <c r="D201" i="66"/>
  <c r="C201" i="66"/>
  <c r="C204" i="66" s="1"/>
  <c r="G183" i="66"/>
  <c r="F183" i="66"/>
  <c r="E183" i="66"/>
  <c r="K182" i="66"/>
  <c r="J182" i="66"/>
  <c r="I182" i="66"/>
  <c r="D182" i="66"/>
  <c r="G182" i="66" s="1"/>
  <c r="C182" i="66"/>
  <c r="F177" i="66"/>
  <c r="E177" i="66"/>
  <c r="G177" i="66" s="1"/>
  <c r="E176" i="66"/>
  <c r="D176" i="66"/>
  <c r="F176" i="66" s="1"/>
  <c r="C176" i="66"/>
  <c r="G176" i="66" s="1"/>
  <c r="F175" i="66"/>
  <c r="D175" i="66"/>
  <c r="C175" i="66"/>
  <c r="F174" i="66"/>
  <c r="E174" i="66"/>
  <c r="G174" i="66" s="1"/>
  <c r="F173" i="66"/>
  <c r="E173" i="66"/>
  <c r="G173" i="66" s="1"/>
  <c r="F172" i="66"/>
  <c r="E172" i="66"/>
  <c r="J171" i="66"/>
  <c r="C171" i="66"/>
  <c r="G171" i="66" s="1"/>
  <c r="K171" i="66"/>
  <c r="D171" i="66"/>
  <c r="J170" i="66"/>
  <c r="C170" i="66"/>
  <c r="G170" i="66" s="1"/>
  <c r="K170" i="66"/>
  <c r="D170" i="66"/>
  <c r="D169" i="66"/>
  <c r="K169" i="66"/>
  <c r="J169" i="66"/>
  <c r="C169" i="66"/>
  <c r="I169" i="66"/>
  <c r="D168" i="66"/>
  <c r="K168" i="66"/>
  <c r="J168" i="66"/>
  <c r="I168" i="66"/>
  <c r="C168" i="66"/>
  <c r="G168" i="66" s="1"/>
  <c r="I167" i="66"/>
  <c r="K167" i="66"/>
  <c r="J167" i="66"/>
  <c r="D167" i="66"/>
  <c r="C167" i="66"/>
  <c r="G167" i="66" s="1"/>
  <c r="J166" i="66"/>
  <c r="C166" i="66"/>
  <c r="G166" i="66" s="1"/>
  <c r="K166" i="66"/>
  <c r="D166" i="66"/>
  <c r="K165" i="66"/>
  <c r="J165" i="66"/>
  <c r="C165" i="66"/>
  <c r="I165" i="66"/>
  <c r="D164" i="66"/>
  <c r="K164" i="66"/>
  <c r="J164" i="66"/>
  <c r="I164" i="66"/>
  <c r="C164" i="66"/>
  <c r="J163" i="66"/>
  <c r="K163" i="66"/>
  <c r="I163" i="66"/>
  <c r="D163" i="66"/>
  <c r="K162" i="66"/>
  <c r="C162" i="66"/>
  <c r="G162" i="66" s="1"/>
  <c r="J162" i="66"/>
  <c r="D162" i="66"/>
  <c r="K161" i="66"/>
  <c r="J161" i="66"/>
  <c r="C161" i="66"/>
  <c r="I161" i="66"/>
  <c r="D160" i="66"/>
  <c r="K160" i="66"/>
  <c r="J160" i="66"/>
  <c r="I160" i="66"/>
  <c r="C160" i="66"/>
  <c r="J159" i="66"/>
  <c r="K159" i="66"/>
  <c r="I159" i="66"/>
  <c r="D159" i="66"/>
  <c r="K158" i="66"/>
  <c r="C158" i="66"/>
  <c r="G158" i="66" s="1"/>
  <c r="J158" i="66"/>
  <c r="D158" i="66"/>
  <c r="K157" i="66"/>
  <c r="J157" i="66"/>
  <c r="C157" i="66"/>
  <c r="I157" i="66"/>
  <c r="D156" i="66"/>
  <c r="K156" i="66"/>
  <c r="J156" i="66"/>
  <c r="I156" i="66"/>
  <c r="K155" i="66"/>
  <c r="J155" i="66"/>
  <c r="I155" i="66"/>
  <c r="D155" i="66"/>
  <c r="K154" i="66"/>
  <c r="J154" i="66"/>
  <c r="C154" i="66"/>
  <c r="G154" i="66" s="1"/>
  <c r="D154" i="66"/>
  <c r="D153" i="66"/>
  <c r="K153" i="66"/>
  <c r="J153" i="66"/>
  <c r="C153" i="66"/>
  <c r="G153" i="66" s="1"/>
  <c r="I153" i="66"/>
  <c r="D152" i="66"/>
  <c r="K152" i="66"/>
  <c r="J152" i="66"/>
  <c r="I152" i="66"/>
  <c r="K151" i="66"/>
  <c r="J151" i="66"/>
  <c r="I151" i="66"/>
  <c r="D151" i="66"/>
  <c r="K150" i="66"/>
  <c r="J150" i="66"/>
  <c r="C150" i="66"/>
  <c r="G150" i="66" s="1"/>
  <c r="D150" i="66"/>
  <c r="K149" i="66"/>
  <c r="J149" i="66"/>
  <c r="C149" i="66"/>
  <c r="G149" i="66" s="1"/>
  <c r="I149" i="66"/>
  <c r="D149" i="66"/>
  <c r="K148" i="66"/>
  <c r="J148" i="66"/>
  <c r="C148" i="66"/>
  <c r="G148" i="66" s="1"/>
  <c r="I148" i="66"/>
  <c r="D148" i="66"/>
  <c r="J147" i="66"/>
  <c r="C147" i="66"/>
  <c r="G147" i="66" s="1"/>
  <c r="K147" i="66"/>
  <c r="D147" i="66"/>
  <c r="D146" i="66"/>
  <c r="K146" i="66"/>
  <c r="J146" i="66"/>
  <c r="C146" i="66"/>
  <c r="G146" i="66" s="1"/>
  <c r="I146" i="66"/>
  <c r="K145" i="66"/>
  <c r="J145" i="66"/>
  <c r="I145" i="66"/>
  <c r="D145" i="66"/>
  <c r="J144" i="66"/>
  <c r="C144" i="66"/>
  <c r="G144" i="66" s="1"/>
  <c r="K144" i="66"/>
  <c r="I144" i="66"/>
  <c r="D144" i="66"/>
  <c r="K143" i="66"/>
  <c r="J143" i="66"/>
  <c r="C143" i="66"/>
  <c r="G143" i="66" s="1"/>
  <c r="D143" i="66"/>
  <c r="D142" i="66"/>
  <c r="K142" i="66"/>
  <c r="J142" i="66"/>
  <c r="C142" i="66"/>
  <c r="G142" i="66" s="1"/>
  <c r="I142" i="66"/>
  <c r="K141" i="66"/>
  <c r="J141" i="66"/>
  <c r="I141" i="66"/>
  <c r="D141" i="66"/>
  <c r="C141" i="66"/>
  <c r="G141" i="66" s="1"/>
  <c r="J140" i="66"/>
  <c r="C140" i="66"/>
  <c r="G140" i="66" s="1"/>
  <c r="K140" i="66"/>
  <c r="D140" i="66"/>
  <c r="D139" i="66"/>
  <c r="K139" i="66"/>
  <c r="J139" i="66"/>
  <c r="C139" i="66"/>
  <c r="I139" i="66"/>
  <c r="D138" i="66"/>
  <c r="K138" i="66"/>
  <c r="J138" i="66"/>
  <c r="I138" i="66"/>
  <c r="K137" i="66"/>
  <c r="J137" i="66"/>
  <c r="I137" i="66"/>
  <c r="D137" i="66"/>
  <c r="C137" i="66"/>
  <c r="G137" i="66" s="1"/>
  <c r="J136" i="66"/>
  <c r="C136" i="66"/>
  <c r="G136" i="66" s="1"/>
  <c r="K136" i="66"/>
  <c r="D136" i="66"/>
  <c r="D135" i="66"/>
  <c r="K135" i="66"/>
  <c r="J135" i="66"/>
  <c r="C135" i="66"/>
  <c r="I135" i="66"/>
  <c r="D134" i="66"/>
  <c r="K134" i="66"/>
  <c r="J134" i="66"/>
  <c r="I134" i="66"/>
  <c r="K133" i="66"/>
  <c r="J133" i="66"/>
  <c r="I133" i="66"/>
  <c r="D133" i="66"/>
  <c r="C133" i="66"/>
  <c r="G133" i="66" s="1"/>
  <c r="J132" i="66"/>
  <c r="C132" i="66"/>
  <c r="G132" i="66" s="1"/>
  <c r="K132" i="66"/>
  <c r="D132" i="66"/>
  <c r="D131" i="66"/>
  <c r="K131" i="66"/>
  <c r="J131" i="66"/>
  <c r="C131" i="66"/>
  <c r="I131" i="66"/>
  <c r="D130" i="66"/>
  <c r="K130" i="66"/>
  <c r="J130" i="66"/>
  <c r="I130" i="66"/>
  <c r="J129" i="66"/>
  <c r="K129" i="66"/>
  <c r="I129" i="66"/>
  <c r="D129" i="66"/>
  <c r="K128" i="66"/>
  <c r="J128" i="66"/>
  <c r="C128" i="66"/>
  <c r="G128" i="66" s="1"/>
  <c r="I128" i="66"/>
  <c r="D128" i="66"/>
  <c r="D127" i="66"/>
  <c r="K127" i="66"/>
  <c r="J127" i="66"/>
  <c r="I127" i="66"/>
  <c r="K126" i="66"/>
  <c r="J126" i="66"/>
  <c r="I126" i="66"/>
  <c r="D126" i="66"/>
  <c r="C126" i="66"/>
  <c r="G126" i="66" s="1"/>
  <c r="C125" i="66"/>
  <c r="G125" i="66" s="1"/>
  <c r="K125" i="66"/>
  <c r="J125" i="66"/>
  <c r="D125" i="66"/>
  <c r="K124" i="66"/>
  <c r="J124" i="66"/>
  <c r="I124" i="66"/>
  <c r="D123" i="66"/>
  <c r="K123" i="66"/>
  <c r="J123" i="66"/>
  <c r="I123" i="66"/>
  <c r="K122" i="66"/>
  <c r="J122" i="66"/>
  <c r="I122" i="66"/>
  <c r="D122" i="66"/>
  <c r="C122" i="66"/>
  <c r="G122" i="66" s="1"/>
  <c r="C121" i="66"/>
  <c r="G121" i="66" s="1"/>
  <c r="K121" i="66"/>
  <c r="J121" i="66"/>
  <c r="D121" i="66"/>
  <c r="K120" i="66"/>
  <c r="D120" i="66"/>
  <c r="J120" i="66"/>
  <c r="I120" i="66"/>
  <c r="D119" i="66"/>
  <c r="K119" i="66"/>
  <c r="J119" i="66"/>
  <c r="I119" i="66"/>
  <c r="K118" i="66"/>
  <c r="J118" i="66"/>
  <c r="I118" i="66"/>
  <c r="D118" i="66"/>
  <c r="C118" i="66"/>
  <c r="G118" i="66" s="1"/>
  <c r="C117" i="66"/>
  <c r="G117" i="66" s="1"/>
  <c r="K117" i="66"/>
  <c r="J117" i="66"/>
  <c r="D117" i="66"/>
  <c r="K116" i="66"/>
  <c r="D116" i="66"/>
  <c r="J116" i="66"/>
  <c r="I116" i="66"/>
  <c r="D115" i="66"/>
  <c r="K115" i="66"/>
  <c r="J115" i="66"/>
  <c r="C115" i="66"/>
  <c r="G115" i="66" s="1"/>
  <c r="I115" i="66"/>
  <c r="K114" i="66"/>
  <c r="J114" i="66"/>
  <c r="I114" i="66"/>
  <c r="D114" i="66"/>
  <c r="C114" i="66"/>
  <c r="G114" i="66" s="1"/>
  <c r="C113" i="66"/>
  <c r="G113" i="66" s="1"/>
  <c r="K113" i="66"/>
  <c r="J113" i="66"/>
  <c r="D113" i="66"/>
  <c r="K112" i="66"/>
  <c r="D112" i="66"/>
  <c r="J112" i="66"/>
  <c r="I112" i="66"/>
  <c r="D111" i="66"/>
  <c r="K111" i="66"/>
  <c r="J111" i="66"/>
  <c r="C111" i="66"/>
  <c r="G111" i="66" s="1"/>
  <c r="I111" i="66"/>
  <c r="K110" i="66"/>
  <c r="J110" i="66"/>
  <c r="I110" i="66"/>
  <c r="D110" i="66"/>
  <c r="C110" i="66"/>
  <c r="G110" i="66" s="1"/>
  <c r="S189" i="66"/>
  <c r="R189" i="66"/>
  <c r="Q189" i="66"/>
  <c r="C109" i="66"/>
  <c r="G109" i="66" s="1"/>
  <c r="K109" i="66"/>
  <c r="J109" i="66"/>
  <c r="D109" i="66"/>
  <c r="K108" i="66"/>
  <c r="D108" i="66"/>
  <c r="J108" i="66"/>
  <c r="I108" i="66"/>
  <c r="D107" i="66"/>
  <c r="K107" i="66"/>
  <c r="J107" i="66"/>
  <c r="I107" i="66"/>
  <c r="I106" i="66"/>
  <c r="K106" i="66"/>
  <c r="J106" i="66"/>
  <c r="D106" i="66"/>
  <c r="C106" i="66"/>
  <c r="G106" i="66" s="1"/>
  <c r="C105" i="66"/>
  <c r="G105" i="66" s="1"/>
  <c r="K105" i="66"/>
  <c r="J105" i="66"/>
  <c r="D105" i="66"/>
  <c r="K104" i="66"/>
  <c r="D104" i="66"/>
  <c r="J104" i="66"/>
  <c r="I104" i="66"/>
  <c r="D103" i="66"/>
  <c r="K103" i="66"/>
  <c r="J103" i="66"/>
  <c r="I103" i="66"/>
  <c r="K102" i="66"/>
  <c r="J102" i="66"/>
  <c r="I102" i="66"/>
  <c r="D102" i="66"/>
  <c r="C102" i="66"/>
  <c r="G102" i="66" s="1"/>
  <c r="C101" i="66"/>
  <c r="G101" i="66" s="1"/>
  <c r="K101" i="66"/>
  <c r="J101" i="66"/>
  <c r="D101" i="66"/>
  <c r="D100" i="66"/>
  <c r="J100" i="66"/>
  <c r="I100" i="66"/>
  <c r="K100" i="66"/>
  <c r="D99" i="66"/>
  <c r="K99" i="66"/>
  <c r="J99" i="66"/>
  <c r="C99" i="66"/>
  <c r="G99" i="66" s="1"/>
  <c r="I99" i="66"/>
  <c r="K98" i="66"/>
  <c r="J98" i="66"/>
  <c r="I98" i="66"/>
  <c r="D98" i="66"/>
  <c r="C98" i="66"/>
  <c r="G98" i="66" s="1"/>
  <c r="C97" i="66"/>
  <c r="G97" i="66" s="1"/>
  <c r="K97" i="66"/>
  <c r="J97" i="66"/>
  <c r="D97" i="66"/>
  <c r="D96" i="66"/>
  <c r="J96" i="66"/>
  <c r="I96" i="66"/>
  <c r="K96" i="66"/>
  <c r="D95" i="66"/>
  <c r="K95" i="66"/>
  <c r="J95" i="66"/>
  <c r="C95" i="66"/>
  <c r="G95" i="66" s="1"/>
  <c r="I95" i="66"/>
  <c r="K94" i="66"/>
  <c r="J94" i="66"/>
  <c r="I94" i="66"/>
  <c r="D94" i="66"/>
  <c r="C94" i="66"/>
  <c r="G94" i="66" s="1"/>
  <c r="I93" i="66"/>
  <c r="K93" i="66"/>
  <c r="J93" i="66"/>
  <c r="D93" i="66"/>
  <c r="C93" i="66"/>
  <c r="G93" i="66" s="1"/>
  <c r="S187" i="66"/>
  <c r="R187" i="66"/>
  <c r="Q187" i="66"/>
  <c r="J92" i="66"/>
  <c r="I92" i="66"/>
  <c r="K92" i="66"/>
  <c r="D92" i="66"/>
  <c r="D91" i="66"/>
  <c r="K91" i="66"/>
  <c r="J91" i="66"/>
  <c r="C91" i="66"/>
  <c r="G91" i="66" s="1"/>
  <c r="I91" i="66"/>
  <c r="D90" i="66"/>
  <c r="K90" i="66"/>
  <c r="J90" i="66"/>
  <c r="I90" i="66"/>
  <c r="C90" i="66"/>
  <c r="G90" i="66" s="1"/>
  <c r="I89" i="66"/>
  <c r="K89" i="66"/>
  <c r="J89" i="66"/>
  <c r="D89" i="66"/>
  <c r="C89" i="66"/>
  <c r="G89" i="66" s="1"/>
  <c r="K88" i="66"/>
  <c r="I88" i="66"/>
  <c r="J88" i="66"/>
  <c r="D87" i="66"/>
  <c r="K87" i="66"/>
  <c r="J87" i="66"/>
  <c r="I87" i="66"/>
  <c r="C87" i="66"/>
  <c r="G87" i="66" s="1"/>
  <c r="I86" i="66"/>
  <c r="J86" i="66"/>
  <c r="K86" i="66"/>
  <c r="C86" i="66"/>
  <c r="J85" i="66"/>
  <c r="D85" i="66"/>
  <c r="K85" i="66"/>
  <c r="C85" i="66"/>
  <c r="C84" i="66"/>
  <c r="G84" i="66" s="1"/>
  <c r="K84" i="66"/>
  <c r="I84" i="66"/>
  <c r="D84" i="66"/>
  <c r="D83" i="66"/>
  <c r="J83" i="66"/>
  <c r="I83" i="66"/>
  <c r="K82" i="66"/>
  <c r="J82" i="66"/>
  <c r="I82" i="66"/>
  <c r="D81" i="66"/>
  <c r="K81" i="66"/>
  <c r="I81" i="66"/>
  <c r="J81" i="66"/>
  <c r="C81" i="66"/>
  <c r="G81" i="66" s="1"/>
  <c r="R188" i="66"/>
  <c r="Q188" i="66"/>
  <c r="J80" i="66"/>
  <c r="C80" i="66"/>
  <c r="G80" i="66" s="1"/>
  <c r="K80" i="66"/>
  <c r="D80" i="66"/>
  <c r="D79" i="66"/>
  <c r="K79" i="66"/>
  <c r="N179" i="66"/>
  <c r="N185" i="66" s="1"/>
  <c r="M179" i="66"/>
  <c r="M185" i="66" s="1"/>
  <c r="F68" i="66"/>
  <c r="E68" i="66"/>
  <c r="F66" i="66"/>
  <c r="E66" i="66"/>
  <c r="G66" i="66" s="1"/>
  <c r="F65" i="66"/>
  <c r="E65" i="66"/>
  <c r="G65" i="66" s="1"/>
  <c r="F64" i="66"/>
  <c r="E64" i="66"/>
  <c r="G64" i="66" s="1"/>
  <c r="K63" i="66"/>
  <c r="I63" i="66"/>
  <c r="J63" i="66"/>
  <c r="D63" i="66"/>
  <c r="C63" i="66"/>
  <c r="G63" i="66" s="1"/>
  <c r="I62" i="66"/>
  <c r="J62" i="66"/>
  <c r="C62" i="66"/>
  <c r="G62" i="66" s="1"/>
  <c r="K62" i="66"/>
  <c r="D62" i="66"/>
  <c r="D61" i="66"/>
  <c r="K61" i="66"/>
  <c r="J61" i="66"/>
  <c r="C61" i="66"/>
  <c r="G61" i="66" s="1"/>
  <c r="D60" i="66"/>
  <c r="K60" i="66"/>
  <c r="J60" i="66"/>
  <c r="I60" i="66"/>
  <c r="K59" i="66"/>
  <c r="I59" i="66"/>
  <c r="J59" i="66"/>
  <c r="D59" i="66"/>
  <c r="C59" i="66"/>
  <c r="G59" i="66" s="1"/>
  <c r="I58" i="66"/>
  <c r="J58" i="66"/>
  <c r="C58" i="66"/>
  <c r="G58" i="66" s="1"/>
  <c r="K58" i="66"/>
  <c r="D58" i="66"/>
  <c r="D57" i="66"/>
  <c r="K57" i="66"/>
  <c r="J57" i="66"/>
  <c r="C57" i="66"/>
  <c r="G57" i="66" s="1"/>
  <c r="D56" i="66"/>
  <c r="K56" i="66"/>
  <c r="J56" i="66"/>
  <c r="I56" i="66"/>
  <c r="K55" i="66"/>
  <c r="I55" i="66"/>
  <c r="J55" i="66"/>
  <c r="D55" i="66"/>
  <c r="C55" i="66"/>
  <c r="G55" i="66" s="1"/>
  <c r="I54" i="66"/>
  <c r="J54" i="66"/>
  <c r="C54" i="66"/>
  <c r="G54" i="66" s="1"/>
  <c r="K54" i="66"/>
  <c r="D54" i="66"/>
  <c r="S71" i="66"/>
  <c r="R71" i="66"/>
  <c r="Q71" i="66"/>
  <c r="K53" i="66"/>
  <c r="J53" i="66"/>
  <c r="C53" i="66"/>
  <c r="D52" i="66"/>
  <c r="K52" i="66"/>
  <c r="J52" i="66"/>
  <c r="I52" i="66"/>
  <c r="K51" i="66"/>
  <c r="I51" i="66"/>
  <c r="J51" i="66"/>
  <c r="D51" i="66"/>
  <c r="C51" i="66"/>
  <c r="G51" i="66" s="1"/>
  <c r="J50" i="66"/>
  <c r="I50" i="66"/>
  <c r="K50" i="66"/>
  <c r="D50" i="66"/>
  <c r="D49" i="66"/>
  <c r="K49" i="66"/>
  <c r="J49" i="66"/>
  <c r="C49" i="66"/>
  <c r="G49" i="66" s="1"/>
  <c r="D48" i="66"/>
  <c r="K48" i="66"/>
  <c r="J48" i="66"/>
  <c r="I48" i="66"/>
  <c r="K47" i="66"/>
  <c r="I47" i="66"/>
  <c r="J47" i="66"/>
  <c r="D47" i="66"/>
  <c r="C47" i="66"/>
  <c r="G47" i="66" s="1"/>
  <c r="J46" i="66"/>
  <c r="I46" i="66"/>
  <c r="K46" i="66"/>
  <c r="D46" i="66"/>
  <c r="D45" i="66"/>
  <c r="K45" i="66"/>
  <c r="J45" i="66"/>
  <c r="C45" i="66"/>
  <c r="G45" i="66" s="1"/>
  <c r="D44" i="66"/>
  <c r="K44" i="66"/>
  <c r="J44" i="66"/>
  <c r="I44" i="66"/>
  <c r="K43" i="66"/>
  <c r="I43" i="66"/>
  <c r="J43" i="66"/>
  <c r="D43" i="66"/>
  <c r="C43" i="66"/>
  <c r="G43" i="66" s="1"/>
  <c r="J42" i="66"/>
  <c r="I42" i="66"/>
  <c r="K42" i="66"/>
  <c r="D42" i="66"/>
  <c r="D41" i="66"/>
  <c r="K41" i="66"/>
  <c r="J41" i="66"/>
  <c r="C41" i="66"/>
  <c r="G41" i="66" s="1"/>
  <c r="D40" i="66"/>
  <c r="K40" i="66"/>
  <c r="J40" i="66"/>
  <c r="I40" i="66"/>
  <c r="K39" i="66"/>
  <c r="I39" i="66"/>
  <c r="J39" i="66"/>
  <c r="D39" i="66"/>
  <c r="C39" i="66"/>
  <c r="G39" i="66" s="1"/>
  <c r="J38" i="66"/>
  <c r="I38" i="66"/>
  <c r="K38" i="66"/>
  <c r="D38" i="66"/>
  <c r="D37" i="66"/>
  <c r="K37" i="66"/>
  <c r="J37" i="66"/>
  <c r="C37" i="66"/>
  <c r="G37" i="66" s="1"/>
  <c r="D36" i="66"/>
  <c r="K36" i="66"/>
  <c r="J36" i="66"/>
  <c r="I36" i="66"/>
  <c r="K35" i="66"/>
  <c r="I35" i="66"/>
  <c r="J35" i="66"/>
  <c r="D35" i="66"/>
  <c r="C35" i="66"/>
  <c r="G35" i="66" s="1"/>
  <c r="J34" i="66"/>
  <c r="I34" i="66"/>
  <c r="K34" i="66"/>
  <c r="D34" i="66"/>
  <c r="D33" i="66"/>
  <c r="K33" i="66"/>
  <c r="J33" i="66"/>
  <c r="C33" i="66"/>
  <c r="G33" i="66" s="1"/>
  <c r="D32" i="66"/>
  <c r="R72" i="66"/>
  <c r="Q72" i="66"/>
  <c r="K32" i="66"/>
  <c r="J32" i="66"/>
  <c r="I32" i="66"/>
  <c r="K31" i="66"/>
  <c r="I31" i="66"/>
  <c r="J31" i="66"/>
  <c r="D31" i="66"/>
  <c r="C31" i="66"/>
  <c r="G31" i="66" s="1"/>
  <c r="D30" i="66"/>
  <c r="J30" i="66"/>
  <c r="K30" i="66"/>
  <c r="S70" i="66"/>
  <c r="Q70" i="66"/>
  <c r="K29" i="66"/>
  <c r="C29" i="66"/>
  <c r="D28" i="66"/>
  <c r="K28" i="66"/>
  <c r="C28" i="66"/>
  <c r="G28" i="66" s="1"/>
  <c r="I28" i="66"/>
  <c r="D27" i="66"/>
  <c r="K27" i="66"/>
  <c r="C27" i="66"/>
  <c r="G27" i="66" s="1"/>
  <c r="D26" i="66"/>
  <c r="O68" i="66"/>
  <c r="N68" i="66"/>
  <c r="I26" i="66"/>
  <c r="S21" i="66"/>
  <c r="R21" i="66"/>
  <c r="Q21" i="66"/>
  <c r="O21" i="66"/>
  <c r="N21" i="66"/>
  <c r="M21" i="66"/>
  <c r="K21" i="66"/>
  <c r="J21" i="66"/>
  <c r="F21" i="66"/>
  <c r="E21" i="66"/>
  <c r="F19" i="66"/>
  <c r="E19" i="66"/>
  <c r="G19" i="66" s="1"/>
  <c r="F18" i="66"/>
  <c r="E18" i="66"/>
  <c r="G18" i="66" s="1"/>
  <c r="F17" i="66"/>
  <c r="E17" i="66"/>
  <c r="G17" i="66" s="1"/>
  <c r="K15" i="66"/>
  <c r="J15" i="66"/>
  <c r="I15" i="66"/>
  <c r="I21" i="66" s="1"/>
  <c r="D15" i="66"/>
  <c r="D21" i="66" s="1"/>
  <c r="C15" i="66"/>
  <c r="G15" i="66" s="1"/>
  <c r="A15" i="66"/>
  <c r="A16" i="66" s="1"/>
  <c r="A17" i="66" s="1"/>
  <c r="A18" i="66" s="1"/>
  <c r="A19" i="66" s="1"/>
  <c r="A20" i="66" s="1"/>
  <c r="A21" i="66" s="1"/>
  <c r="A22" i="66" s="1"/>
  <c r="A23" i="66" s="1"/>
  <c r="A24" i="66" s="1"/>
  <c r="A25" i="66" s="1"/>
  <c r="A26" i="66" s="1"/>
  <c r="A27" i="66" s="1"/>
  <c r="A28" i="66" s="1"/>
  <c r="A29" i="66" s="1"/>
  <c r="A30" i="66" s="1"/>
  <c r="A31" i="66" s="1"/>
  <c r="A32" i="66" s="1"/>
  <c r="A33" i="66" s="1"/>
  <c r="A34" i="66" s="1"/>
  <c r="A35" i="66" s="1"/>
  <c r="A36" i="66" s="1"/>
  <c r="A37" i="66" s="1"/>
  <c r="A38" i="66" s="1"/>
  <c r="A39" i="66" s="1"/>
  <c r="A40" i="66" s="1"/>
  <c r="A41" i="66" s="1"/>
  <c r="A42" i="66" s="1"/>
  <c r="A43" i="66" s="1"/>
  <c r="A44" i="66" s="1"/>
  <c r="A45" i="66" s="1"/>
  <c r="A46" i="66" s="1"/>
  <c r="A47" i="66" s="1"/>
  <c r="A48" i="66" s="1"/>
  <c r="A49" i="66" s="1"/>
  <c r="A50" i="66" s="1"/>
  <c r="A51" i="66" s="1"/>
  <c r="A52" i="66" s="1"/>
  <c r="A53" i="66" s="1"/>
  <c r="A54" i="66" s="1"/>
  <c r="A55" i="66" s="1"/>
  <c r="A56" i="66" s="1"/>
  <c r="A57" i="66" s="1"/>
  <c r="A58" i="66" s="1"/>
  <c r="A59" i="66" s="1"/>
  <c r="A60" i="66" s="1"/>
  <c r="A61" i="66" s="1"/>
  <c r="A62" i="66" s="1"/>
  <c r="A63" i="66" s="1"/>
  <c r="A64" i="66" s="1"/>
  <c r="A65" i="66" s="1"/>
  <c r="A66" i="66" s="1"/>
  <c r="A67" i="66" s="1"/>
  <c r="A68" i="66" s="1"/>
  <c r="A69" i="66" s="1"/>
  <c r="A76" i="66" s="1"/>
  <c r="A77" i="66" s="1"/>
  <c r="A78" i="66" s="1"/>
  <c r="A79" i="66" s="1"/>
  <c r="A80" i="66" s="1"/>
  <c r="A81" i="66" s="1"/>
  <c r="A82" i="66" s="1"/>
  <c r="A83" i="66" s="1"/>
  <c r="A84" i="66" s="1"/>
  <c r="A85" i="66" s="1"/>
  <c r="A86" i="66" s="1"/>
  <c r="A87" i="66" s="1"/>
  <c r="A88" i="66" s="1"/>
  <c r="A89" i="66" s="1"/>
  <c r="A90" i="66" s="1"/>
  <c r="A91" i="66" s="1"/>
  <c r="A92" i="66" s="1"/>
  <c r="A93" i="66" s="1"/>
  <c r="A94" i="66" s="1"/>
  <c r="A95" i="66" s="1"/>
  <c r="A96" i="66" s="1"/>
  <c r="A97" i="66" s="1"/>
  <c r="A98" i="66" s="1"/>
  <c r="A99" i="66" s="1"/>
  <c r="A100" i="66" s="1"/>
  <c r="A101" i="66" s="1"/>
  <c r="A102" i="66" s="1"/>
  <c r="A103" i="66" s="1"/>
  <c r="A104" i="66" s="1"/>
  <c r="A105" i="66" s="1"/>
  <c r="A106" i="66" s="1"/>
  <c r="A107" i="66" s="1"/>
  <c r="A108" i="66" s="1"/>
  <c r="A109" i="66" s="1"/>
  <c r="A110" i="66" s="1"/>
  <c r="A111" i="66" s="1"/>
  <c r="A112" i="66" s="1"/>
  <c r="A113" i="66" s="1"/>
  <c r="A114" i="66" s="1"/>
  <c r="A115" i="66" s="1"/>
  <c r="A116" i="66" s="1"/>
  <c r="A117" i="66" s="1"/>
  <c r="A118" i="66" s="1"/>
  <c r="A119" i="66" s="1"/>
  <c r="A120" i="66" s="1"/>
  <c r="A121" i="66" s="1"/>
  <c r="A122" i="66" s="1"/>
  <c r="A123" i="66" s="1"/>
  <c r="A124" i="66" s="1"/>
  <c r="A125" i="66" s="1"/>
  <c r="A126" i="66" s="1"/>
  <c r="A127" i="66" s="1"/>
  <c r="A128" i="66" s="1"/>
  <c r="A129" i="66" s="1"/>
  <c r="A130" i="66" s="1"/>
  <c r="A131" i="66" s="1"/>
  <c r="A132" i="66" s="1"/>
  <c r="A133" i="66" s="1"/>
  <c r="A134" i="66" s="1"/>
  <c r="A135" i="66" s="1"/>
  <c r="A136" i="66" s="1"/>
  <c r="A137" i="66" s="1"/>
  <c r="A138" i="66" s="1"/>
  <c r="A139" i="66" s="1"/>
  <c r="A140" i="66" s="1"/>
  <c r="A141" i="66" s="1"/>
  <c r="A142" i="66" s="1"/>
  <c r="A143" i="66" s="1"/>
  <c r="A144" i="66" s="1"/>
  <c r="A145" i="66" s="1"/>
  <c r="A146" i="66" s="1"/>
  <c r="A147" i="66" s="1"/>
  <c r="A148" i="66" s="1"/>
  <c r="A149" i="66" s="1"/>
  <c r="A150" i="66" s="1"/>
  <c r="A151" i="66" s="1"/>
  <c r="A152" i="66" s="1"/>
  <c r="A153" i="66" s="1"/>
  <c r="A154" i="66" s="1"/>
  <c r="A155" i="66" s="1"/>
  <c r="A156" i="66" s="1"/>
  <c r="A157" i="66" s="1"/>
  <c r="A158" i="66" s="1"/>
  <c r="A159" i="66" s="1"/>
  <c r="A160" i="66" s="1"/>
  <c r="A161" i="66" s="1"/>
  <c r="A162" i="66" s="1"/>
  <c r="A163" i="66" s="1"/>
  <c r="A164" i="66" s="1"/>
  <c r="A165" i="66" s="1"/>
  <c r="A166" i="66" s="1"/>
  <c r="A167" i="66" s="1"/>
  <c r="A168" i="66" s="1"/>
  <c r="A169" i="66" s="1"/>
  <c r="A170" i="66" s="1"/>
  <c r="A171" i="66" s="1"/>
  <c r="A172" i="66" s="1"/>
  <c r="A173" i="66" s="1"/>
  <c r="A174" i="66" s="1"/>
  <c r="A175" i="66" s="1"/>
  <c r="A176" i="66" s="1"/>
  <c r="A177" i="66" s="1"/>
  <c r="A178" i="66" s="1"/>
  <c r="A179" i="66" s="1"/>
  <c r="A180" i="66" s="1"/>
  <c r="A181" i="66" s="1"/>
  <c r="A182" i="66" s="1"/>
  <c r="A183" i="66" s="1"/>
  <c r="A184" i="66" s="1"/>
  <c r="A185" i="66" s="1"/>
  <c r="A186" i="66" s="1"/>
  <c r="A192" i="66" s="1"/>
  <c r="A193" i="66" s="1"/>
  <c r="A194" i="66" s="1"/>
  <c r="A195" i="66" s="1"/>
  <c r="A196" i="66" s="1"/>
  <c r="A197" i="66" s="1"/>
  <c r="A198" i="66" s="1"/>
  <c r="A199" i="66" s="1"/>
  <c r="A200" i="66" s="1"/>
  <c r="A201" i="66" s="1"/>
  <c r="A202" i="66" s="1"/>
  <c r="A203" i="66" s="1"/>
  <c r="A204" i="66" s="1"/>
  <c r="A14" i="66"/>
  <c r="F11" i="66"/>
  <c r="E11" i="66"/>
  <c r="G21" i="66" l="1"/>
  <c r="I27" i="66"/>
  <c r="C21" i="66"/>
  <c r="Q73" i="66"/>
  <c r="Q68" i="66"/>
  <c r="J27" i="66"/>
  <c r="J28" i="66"/>
  <c r="J29" i="66"/>
  <c r="M68" i="66"/>
  <c r="R68" i="66"/>
  <c r="R73" i="66"/>
  <c r="S73" i="66"/>
  <c r="S68" i="66"/>
  <c r="Q74" i="66" s="1"/>
  <c r="I29" i="66"/>
  <c r="C26" i="66"/>
  <c r="J26" i="66"/>
  <c r="R70" i="66"/>
  <c r="D29" i="66"/>
  <c r="G29" i="66" s="1"/>
  <c r="I30" i="66"/>
  <c r="G85" i="66"/>
  <c r="K26" i="66"/>
  <c r="K68" i="66" s="1"/>
  <c r="C30" i="66"/>
  <c r="G30" i="66" s="1"/>
  <c r="C34" i="66"/>
  <c r="G34" i="66" s="1"/>
  <c r="C38" i="66"/>
  <c r="G38" i="66" s="1"/>
  <c r="C42" i="66"/>
  <c r="G42" i="66" s="1"/>
  <c r="C46" i="66"/>
  <c r="G46" i="66" s="1"/>
  <c r="C50" i="66"/>
  <c r="G50" i="66" s="1"/>
  <c r="D53" i="66"/>
  <c r="G53" i="66" s="1"/>
  <c r="Q179" i="66"/>
  <c r="Q185" i="66" s="1"/>
  <c r="Q190" i="66"/>
  <c r="J84" i="66"/>
  <c r="D88" i="66"/>
  <c r="C88" i="66"/>
  <c r="R190" i="66"/>
  <c r="R179" i="66"/>
  <c r="R185" i="66" s="1"/>
  <c r="Q191" i="66" s="1"/>
  <c r="C32" i="66"/>
  <c r="G32" i="66" s="1"/>
  <c r="I33" i="66"/>
  <c r="C36" i="66"/>
  <c r="G36" i="66" s="1"/>
  <c r="I37" i="66"/>
  <c r="I68" i="66" s="1"/>
  <c r="C40" i="66"/>
  <c r="G40" i="66" s="1"/>
  <c r="I41" i="66"/>
  <c r="C44" i="66"/>
  <c r="G44" i="66" s="1"/>
  <c r="I45" i="66"/>
  <c r="C48" i="66"/>
  <c r="G48" i="66" s="1"/>
  <c r="I49" i="66"/>
  <c r="C52" i="66"/>
  <c r="G52" i="66" s="1"/>
  <c r="I53" i="66"/>
  <c r="C56" i="66"/>
  <c r="G56" i="66" s="1"/>
  <c r="I57" i="66"/>
  <c r="C60" i="66"/>
  <c r="G60" i="66" s="1"/>
  <c r="I61" i="66"/>
  <c r="S72" i="66"/>
  <c r="I79" i="66"/>
  <c r="S190" i="66"/>
  <c r="S179" i="66"/>
  <c r="S185" i="66" s="1"/>
  <c r="C82" i="66"/>
  <c r="K83" i="66"/>
  <c r="K179" i="66" s="1"/>
  <c r="K185" i="66" s="1"/>
  <c r="I85" i="66"/>
  <c r="D86" i="66"/>
  <c r="D179" i="66" s="1"/>
  <c r="D185" i="66" s="1"/>
  <c r="C79" i="66"/>
  <c r="J79" i="66"/>
  <c r="O179" i="66"/>
  <c r="O185" i="66" s="1"/>
  <c r="I80" i="66"/>
  <c r="S188" i="66"/>
  <c r="D82" i="66"/>
  <c r="C83" i="66"/>
  <c r="G83" i="66" s="1"/>
  <c r="C92" i="66"/>
  <c r="G92" i="66" s="1"/>
  <c r="C96" i="66"/>
  <c r="G96" i="66" s="1"/>
  <c r="I97" i="66"/>
  <c r="C100" i="66"/>
  <c r="G100" i="66" s="1"/>
  <c r="I101" i="66"/>
  <c r="C104" i="66"/>
  <c r="G104" i="66" s="1"/>
  <c r="I105" i="66"/>
  <c r="C108" i="66"/>
  <c r="G108" i="66" s="1"/>
  <c r="I109" i="66"/>
  <c r="C112" i="66"/>
  <c r="G112" i="66" s="1"/>
  <c r="I113" i="66"/>
  <c r="C116" i="66"/>
  <c r="G116" i="66" s="1"/>
  <c r="I117" i="66"/>
  <c r="C120" i="66"/>
  <c r="G120" i="66" s="1"/>
  <c r="I121" i="66"/>
  <c r="C124" i="66"/>
  <c r="I125" i="66"/>
  <c r="G135" i="66"/>
  <c r="G139" i="66"/>
  <c r="G157" i="66"/>
  <c r="G161" i="66"/>
  <c r="F179" i="66"/>
  <c r="F185" i="66" s="1"/>
  <c r="D124" i="66"/>
  <c r="G131" i="66"/>
  <c r="G169" i="66"/>
  <c r="G175" i="66"/>
  <c r="C103" i="66"/>
  <c r="G103" i="66" s="1"/>
  <c r="C107" i="66"/>
  <c r="G107" i="66" s="1"/>
  <c r="C119" i="66"/>
  <c r="G119" i="66" s="1"/>
  <c r="C123" i="66"/>
  <c r="G123" i="66" s="1"/>
  <c r="C127" i="66"/>
  <c r="G127" i="66" s="1"/>
  <c r="G160" i="66"/>
  <c r="G164" i="66"/>
  <c r="C129" i="66"/>
  <c r="G129" i="66" s="1"/>
  <c r="C145" i="66"/>
  <c r="G145" i="66" s="1"/>
  <c r="I150" i="66"/>
  <c r="I154" i="66"/>
  <c r="I158" i="66"/>
  <c r="I162" i="66"/>
  <c r="I166" i="66"/>
  <c r="I170" i="66"/>
  <c r="C130" i="66"/>
  <c r="G130" i="66" s="1"/>
  <c r="C134" i="66"/>
  <c r="G134" i="66" s="1"/>
  <c r="C138" i="66"/>
  <c r="G138" i="66" s="1"/>
  <c r="I143" i="66"/>
  <c r="I147" i="66"/>
  <c r="D157" i="66"/>
  <c r="D161" i="66"/>
  <c r="D165" i="66"/>
  <c r="G165" i="66" s="1"/>
  <c r="I171" i="66"/>
  <c r="G172" i="66"/>
  <c r="E175" i="66"/>
  <c r="E179" i="66" s="1"/>
  <c r="E185" i="66" s="1"/>
  <c r="G201" i="66"/>
  <c r="G204" i="66" s="1"/>
  <c r="I132" i="66"/>
  <c r="I136" i="66"/>
  <c r="I140" i="66"/>
  <c r="C151" i="66"/>
  <c r="G151" i="66" s="1"/>
  <c r="C155" i="66"/>
  <c r="G155" i="66" s="1"/>
  <c r="C159" i="66"/>
  <c r="G159" i="66" s="1"/>
  <c r="C163" i="66"/>
  <c r="G163" i="66" s="1"/>
  <c r="C152" i="66"/>
  <c r="G152" i="66" s="1"/>
  <c r="C156" i="66"/>
  <c r="G156" i="66" s="1"/>
  <c r="I179" i="66" l="1"/>
  <c r="I185" i="66" s="1"/>
  <c r="C179" i="66"/>
  <c r="C185" i="66" s="1"/>
  <c r="G79" i="66"/>
  <c r="G82" i="66"/>
  <c r="G88" i="66"/>
  <c r="J68" i="66"/>
  <c r="G86" i="66"/>
  <c r="C68" i="66"/>
  <c r="G26" i="66"/>
  <c r="G68" i="66" s="1"/>
  <c r="D68" i="66"/>
  <c r="G124" i="66"/>
  <c r="J179" i="66"/>
  <c r="J185" i="66" s="1"/>
  <c r="G179" i="66" l="1"/>
  <c r="G185" i="66" s="1"/>
  <c r="J32" i="35" l="1"/>
  <c r="I32" i="35"/>
  <c r="H32" i="35"/>
  <c r="E30" i="22" l="1"/>
  <c r="E47" i="22"/>
  <c r="D196" i="25"/>
  <c r="A160" i="25"/>
  <c r="A118" i="25"/>
  <c r="A66" i="25"/>
  <c r="D11" i="6" l="1"/>
  <c r="C11" i="6"/>
  <c r="B15" i="38" l="1"/>
  <c r="C46" i="12"/>
  <c r="E11" i="44"/>
  <c r="B35" i="44"/>
  <c r="B29" i="44"/>
  <c r="B23" i="44"/>
  <c r="B17" i="44"/>
  <c r="I12" i="43"/>
  <c r="H12" i="43"/>
  <c r="G12" i="43"/>
  <c r="D20" i="11" l="1"/>
  <c r="H14" i="11"/>
  <c r="H18" i="11" s="1"/>
  <c r="G14" i="11"/>
  <c r="G16" i="11" s="1"/>
  <c r="F14" i="11"/>
  <c r="F18" i="11" s="1"/>
  <c r="E14" i="11"/>
  <c r="E18" i="11" s="1"/>
  <c r="D14" i="11"/>
  <c r="D16" i="11" s="1"/>
  <c r="D18" i="11" l="1"/>
  <c r="D21" i="11" s="1"/>
  <c r="H16" i="11"/>
  <c r="G18" i="11"/>
  <c r="E16" i="11"/>
  <c r="F16" i="11"/>
  <c r="E53" i="3" l="1"/>
  <c r="E52" i="3"/>
  <c r="E48" i="3"/>
  <c r="E47" i="3"/>
  <c r="E45" i="3"/>
  <c r="E44" i="3"/>
  <c r="E43" i="3"/>
  <c r="E41" i="3"/>
  <c r="E40" i="3"/>
  <c r="E39" i="3"/>
  <c r="E38" i="3"/>
  <c r="E37" i="3"/>
  <c r="E36" i="3"/>
  <c r="E35" i="3"/>
  <c r="E21" i="3"/>
  <c r="E20" i="3"/>
  <c r="E19" i="3"/>
  <c r="E18" i="3"/>
  <c r="E17" i="3"/>
  <c r="E16" i="3"/>
  <c r="E15" i="3"/>
  <c r="E14" i="3"/>
  <c r="E13" i="3"/>
  <c r="E10" i="3"/>
  <c r="E9" i="3"/>
  <c r="C12" i="49" l="1"/>
  <c r="C9" i="49"/>
  <c r="B24" i="43"/>
  <c r="A24" i="43" l="1"/>
  <c r="A17" i="43"/>
  <c r="F35" i="5" l="1"/>
  <c r="E43" i="22" l="1"/>
  <c r="E49" i="22" s="1"/>
  <c r="D24" i="43"/>
  <c r="K12" i="43"/>
  <c r="C18" i="54" l="1"/>
  <c r="D14" i="54" l="1"/>
  <c r="J11" i="59"/>
  <c r="F31" i="48"/>
  <c r="D129" i="25"/>
  <c r="D11" i="28" l="1"/>
  <c r="F24" i="43"/>
  <c r="E55" i="21"/>
  <c r="C21" i="14"/>
  <c r="K12" i="14"/>
  <c r="K11" i="14"/>
  <c r="J13" i="14"/>
  <c r="I13" i="14"/>
  <c r="H13" i="14"/>
  <c r="G13" i="14"/>
  <c r="F13" i="14"/>
  <c r="E13" i="14"/>
  <c r="D13" i="14"/>
  <c r="C13" i="14"/>
  <c r="D204" i="25"/>
  <c r="D171" i="25" s="1"/>
  <c r="G11" i="44"/>
  <c r="G12" i="44" s="1"/>
  <c r="G35" i="44"/>
  <c r="G36" i="44" s="1"/>
  <c r="G17" i="44"/>
  <c r="G18" i="44" s="1"/>
  <c r="G23" i="44"/>
  <c r="G24" i="44" s="1"/>
  <c r="G29" i="44"/>
  <c r="G30" i="44" s="1"/>
  <c r="C17" i="64"/>
  <c r="G16" i="3"/>
  <c r="G19" i="3"/>
  <c r="F61" i="3"/>
  <c r="G10" i="3"/>
  <c r="G9" i="3"/>
  <c r="G14" i="3"/>
  <c r="G39" i="3"/>
  <c r="F57" i="3"/>
  <c r="E57" i="3"/>
  <c r="E61" i="3"/>
  <c r="F60" i="3"/>
  <c r="F62" i="3"/>
  <c r="E60" i="3"/>
  <c r="E10" i="28"/>
  <c r="E11" i="28" s="1"/>
  <c r="G53" i="3"/>
  <c r="G52" i="3"/>
  <c r="G51" i="3"/>
  <c r="G50" i="3"/>
  <c r="G49" i="3"/>
  <c r="G48" i="3"/>
  <c r="G47" i="3"/>
  <c r="G46" i="3"/>
  <c r="G45" i="3"/>
  <c r="G44" i="3"/>
  <c r="G43" i="3"/>
  <c r="G41" i="3"/>
  <c r="G40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8" i="3"/>
  <c r="G17" i="3"/>
  <c r="G15" i="3"/>
  <c r="G13" i="3"/>
  <c r="G12" i="3"/>
  <c r="G11" i="3"/>
  <c r="D6" i="57"/>
  <c r="F43" i="5"/>
  <c r="F42" i="5"/>
  <c r="E129" i="49"/>
  <c r="A26" i="49"/>
  <c r="A32" i="49" s="1"/>
  <c r="A33" i="49" s="1"/>
  <c r="A42" i="49" s="1"/>
  <c r="A52" i="49" s="1"/>
  <c r="A55" i="49" s="1"/>
  <c r="A59" i="49" s="1"/>
  <c r="A60" i="49" s="1"/>
  <c r="A74" i="49" s="1"/>
  <c r="A76" i="49" s="1"/>
  <c r="A81" i="49" s="1"/>
  <c r="A82" i="49" s="1"/>
  <c r="A84" i="49" s="1"/>
  <c r="A85" i="49" s="1"/>
  <c r="A89" i="49" s="1"/>
  <c r="A92" i="49" s="1"/>
  <c r="A103" i="49" s="1"/>
  <c r="A112" i="49" s="1"/>
  <c r="A116" i="49" s="1"/>
  <c r="A123" i="49" s="1"/>
  <c r="A126" i="49" s="1"/>
  <c r="A129" i="49" s="1"/>
  <c r="D31" i="8"/>
  <c r="D35" i="8"/>
  <c r="D39" i="8"/>
  <c r="D43" i="8"/>
  <c r="D47" i="8"/>
  <c r="B17" i="38"/>
  <c r="B21" i="38" s="1"/>
  <c r="G13" i="19"/>
  <c r="F13" i="19"/>
  <c r="D12" i="19"/>
  <c r="D13" i="19"/>
  <c r="J11" i="40"/>
  <c r="J13" i="40" s="1"/>
  <c r="K16" i="40" s="1"/>
  <c r="K13" i="40"/>
  <c r="D198" i="25"/>
  <c r="D170" i="25" s="1"/>
  <c r="F33" i="5"/>
  <c r="C42" i="12"/>
  <c r="C15" i="12"/>
  <c r="F40" i="21"/>
  <c r="F25" i="21"/>
  <c r="B15" i="21"/>
  <c r="F56" i="48"/>
  <c r="K11" i="48" s="1"/>
  <c r="D32" i="25"/>
  <c r="D52" i="25"/>
  <c r="D57" i="25"/>
  <c r="F38" i="5"/>
  <c r="F36" i="5"/>
  <c r="F29" i="5"/>
  <c r="F28" i="5"/>
  <c r="F27" i="5"/>
  <c r="F26" i="5"/>
  <c r="F25" i="5"/>
  <c r="F24" i="5"/>
  <c r="F23" i="5"/>
  <c r="F22" i="5"/>
  <c r="F21" i="5"/>
  <c r="F20" i="5"/>
  <c r="D15" i="50"/>
  <c r="D18" i="50" s="1"/>
  <c r="F40" i="48"/>
  <c r="E10" i="36"/>
  <c r="D84" i="25"/>
  <c r="D95" i="25"/>
  <c r="D113" i="25"/>
  <c r="D131" i="25" s="1"/>
  <c r="D140" i="25"/>
  <c r="D147" i="25"/>
  <c r="D154" i="25"/>
  <c r="D184" i="25"/>
  <c r="F49" i="5"/>
  <c r="F48" i="5"/>
  <c r="F46" i="5"/>
  <c r="F45" i="5"/>
  <c r="F44" i="5"/>
  <c r="F41" i="5"/>
  <c r="F40" i="5"/>
  <c r="F39" i="5"/>
  <c r="F37" i="5"/>
  <c r="F34" i="5"/>
  <c r="F32" i="5"/>
  <c r="F31" i="5"/>
  <c r="F30" i="5"/>
  <c r="A12" i="44"/>
  <c r="A17" i="44" s="1"/>
  <c r="A18" i="44" s="1"/>
  <c r="A23" i="44" s="1"/>
  <c r="A24" i="44" s="1"/>
  <c r="A29" i="44" s="1"/>
  <c r="A30" i="44" s="1"/>
  <c r="A35" i="44" s="1"/>
  <c r="A36" i="44" s="1"/>
  <c r="A38" i="44" s="1"/>
  <c r="I11" i="15"/>
  <c r="M13" i="15" s="1"/>
  <c r="C12" i="21"/>
  <c r="I12" i="21"/>
  <c r="K12" i="21"/>
  <c r="M12" i="21"/>
  <c r="H13" i="40"/>
  <c r="O10" i="21"/>
  <c r="O12" i="21" s="1"/>
  <c r="E19" i="54"/>
  <c r="D19" i="54"/>
  <c r="C19" i="54"/>
  <c r="E11" i="48"/>
  <c r="F46" i="48"/>
  <c r="I11" i="48" s="1"/>
  <c r="D13" i="40"/>
  <c r="B13" i="40"/>
  <c r="G12" i="21"/>
  <c r="E12" i="21"/>
  <c r="F13" i="40"/>
  <c r="B17" i="21"/>
  <c r="B11" i="28"/>
  <c r="K10" i="14"/>
  <c r="C11" i="28"/>
  <c r="F10" i="5"/>
  <c r="F11" i="5"/>
  <c r="F12" i="5"/>
  <c r="F13" i="5"/>
  <c r="F14" i="5"/>
  <c r="F15" i="5"/>
  <c r="F16" i="5"/>
  <c r="F17" i="5"/>
  <c r="F18" i="5"/>
  <c r="F19" i="5"/>
  <c r="E10" i="6"/>
  <c r="E11" i="6"/>
  <c r="E16" i="6"/>
  <c r="E15" i="6"/>
  <c r="E21" i="6"/>
  <c r="E20" i="6"/>
  <c r="E24" i="6"/>
  <c r="E26" i="6"/>
  <c r="E28" i="6"/>
  <c r="E34" i="6"/>
  <c r="E33" i="6"/>
  <c r="D12" i="6"/>
  <c r="D17" i="6"/>
  <c r="D22" i="6"/>
  <c r="D35" i="6"/>
  <c r="C12" i="6"/>
  <c r="C17" i="6"/>
  <c r="C22" i="6"/>
  <c r="C35" i="6"/>
  <c r="F59" i="48" l="1"/>
  <c r="C11" i="48" s="1"/>
  <c r="M11" i="48" s="1"/>
  <c r="D172" i="25"/>
  <c r="D180" i="25" s="1"/>
  <c r="D186" i="25" s="1"/>
  <c r="C44" i="12"/>
  <c r="D97" i="25"/>
  <c r="D59" i="25"/>
  <c r="K13" i="14"/>
  <c r="C24" i="14" s="1"/>
  <c r="D49" i="8"/>
  <c r="C21" i="8" s="1"/>
  <c r="D10" i="8" s="1"/>
  <c r="D16" i="8" s="1"/>
  <c r="E35" i="6"/>
  <c r="D30" i="6"/>
  <c r="D37" i="6" s="1"/>
  <c r="E12" i="6"/>
  <c r="G61" i="3"/>
  <c r="E62" i="3"/>
  <c r="G57" i="3"/>
  <c r="G60" i="3"/>
  <c r="F36" i="21"/>
  <c r="F39" i="21"/>
  <c r="F41" i="21" s="1"/>
  <c r="F50" i="5"/>
  <c r="E22" i="6"/>
  <c r="C30" i="6"/>
  <c r="C37" i="6" s="1"/>
  <c r="E17" i="6"/>
  <c r="C17" i="49"/>
  <c r="G38" i="44"/>
  <c r="F61" i="48"/>
  <c r="D188" i="25" l="1"/>
  <c r="D193" i="25" s="1"/>
  <c r="C26" i="14"/>
  <c r="C25" i="14"/>
  <c r="F52" i="5"/>
  <c r="D12" i="8"/>
  <c r="E30" i="6"/>
  <c r="E37" i="6" s="1"/>
  <c r="G62" i="3"/>
  <c r="G65" i="3" s="1"/>
  <c r="C27" i="14" l="1"/>
  <c r="G64" i="3"/>
  <c r="G66" i="3" l="1"/>
  <c r="D47" i="5"/>
  <c r="D50" i="5" s="1"/>
  <c r="D52" i="5" s="1"/>
  <c r="E47" i="5" l="1"/>
  <c r="E50" i="5" s="1"/>
  <c r="E52" i="5" s="1"/>
</calcChain>
</file>

<file path=xl/comments1.xml><?xml version="1.0" encoding="utf-8"?>
<comments xmlns="http://schemas.openxmlformats.org/spreadsheetml/2006/main">
  <authors>
    <author>Tom Syner</author>
  </authors>
  <commentList>
    <comment ref="C65" authorId="0">
      <text>
        <r>
          <rPr>
            <b/>
            <sz val="9"/>
            <color indexed="81"/>
            <rFont val="Tahoma"/>
            <family val="2"/>
          </rPr>
          <t>Tom Syner:</t>
        </r>
        <r>
          <rPr>
            <sz val="9"/>
            <color indexed="81"/>
            <rFont val="Tahoma"/>
            <family val="2"/>
          </rPr>
          <t xml:space="preserve">
Filter:  account like "2823001%"</t>
        </r>
      </text>
    </comment>
    <comment ref="C66" authorId="0">
      <text>
        <r>
          <rPr>
            <b/>
            <sz val="9"/>
            <color indexed="81"/>
            <rFont val="Tahoma"/>
            <family val="2"/>
          </rPr>
          <t>Tom Syner:</t>
        </r>
        <r>
          <rPr>
            <sz val="9"/>
            <color indexed="81"/>
            <rFont val="Tahoma"/>
            <family val="2"/>
          </rPr>
          <t xml:space="preserve">
Filter:  account like "2824001%"</t>
        </r>
      </text>
    </comment>
    <comment ref="C172" authorId="0">
      <text>
        <r>
          <rPr>
            <b/>
            <sz val="9"/>
            <color indexed="81"/>
            <rFont val="Tahoma"/>
            <family val="2"/>
          </rPr>
          <t>Tom Syner:</t>
        </r>
        <r>
          <rPr>
            <sz val="9"/>
            <color indexed="81"/>
            <rFont val="Tahoma"/>
            <family val="2"/>
          </rPr>
          <t xml:space="preserve">
Filter:  account like "2832001%"</t>
        </r>
      </text>
    </comment>
    <comment ref="C173" authorId="0">
      <text>
        <r>
          <rPr>
            <b/>
            <sz val="9"/>
            <color indexed="81"/>
            <rFont val="Tahoma"/>
            <family val="2"/>
          </rPr>
          <t>Tom Syner:</t>
        </r>
        <r>
          <rPr>
            <sz val="9"/>
            <color indexed="81"/>
            <rFont val="Tahoma"/>
            <family val="2"/>
          </rPr>
          <t xml:space="preserve">
Filter:  account like "2833001%"</t>
        </r>
      </text>
    </comment>
    <comment ref="M182" authorId="0">
      <text>
        <r>
          <rPr>
            <b/>
            <sz val="9"/>
            <color indexed="81"/>
            <rFont val="Tahoma"/>
            <family val="2"/>
          </rPr>
          <t>Tom Syner:</t>
        </r>
        <r>
          <rPr>
            <sz val="9"/>
            <color indexed="81"/>
            <rFont val="Tahoma"/>
            <family val="2"/>
          </rPr>
          <t xml:space="preserve">
Filter:  account like "2831%02%"</t>
        </r>
      </text>
    </comment>
    <comment ref="Q182" authorId="0">
      <text>
        <r>
          <rPr>
            <b/>
            <sz val="9"/>
            <color indexed="81"/>
            <rFont val="Tahoma"/>
            <family val="2"/>
          </rPr>
          <t>Tom Syner:</t>
        </r>
        <r>
          <rPr>
            <sz val="9"/>
            <color indexed="81"/>
            <rFont val="Tahoma"/>
            <family val="2"/>
          </rPr>
          <t xml:space="preserve">
Filter:  account like "2831%02%"</t>
        </r>
      </text>
    </comment>
    <comment ref="C183" authorId="0">
      <text>
        <r>
          <rPr>
            <b/>
            <sz val="9"/>
            <color indexed="81"/>
            <rFont val="Tahoma"/>
            <family val="2"/>
          </rPr>
          <t>Tom Syner:</t>
        </r>
        <r>
          <rPr>
            <sz val="9"/>
            <color indexed="81"/>
            <rFont val="Tahoma"/>
            <family val="2"/>
          </rPr>
          <t xml:space="preserve">
Filter:  account like "2833002%"</t>
        </r>
      </text>
    </comment>
  </commentList>
</comments>
</file>

<file path=xl/comments2.xml><?xml version="1.0" encoding="utf-8"?>
<comments xmlns="http://schemas.openxmlformats.org/spreadsheetml/2006/main">
  <authors>
    <author>Tom Syner</author>
  </authors>
  <commentList>
    <comment ref="C107" authorId="0">
      <text>
        <r>
          <rPr>
            <b/>
            <sz val="9"/>
            <color indexed="81"/>
            <rFont val="Tahoma"/>
            <family val="2"/>
          </rPr>
          <t>Tom Syner:</t>
        </r>
        <r>
          <rPr>
            <sz val="9"/>
            <color indexed="81"/>
            <rFont val="Tahoma"/>
            <family val="2"/>
          </rPr>
          <t xml:space="preserve">
Filter:  account like "1902001%"</t>
        </r>
      </text>
    </comment>
    <comment ref="C108" authorId="0">
      <text>
        <r>
          <rPr>
            <b/>
            <sz val="9"/>
            <color indexed="81"/>
            <rFont val="Tahoma"/>
            <family val="2"/>
          </rPr>
          <t>Tom Syner:</t>
        </r>
        <r>
          <rPr>
            <sz val="9"/>
            <color indexed="81"/>
            <rFont val="Tahoma"/>
            <family val="2"/>
          </rPr>
          <t xml:space="preserve">
Filter:  account like "1903001%"</t>
        </r>
      </text>
    </comment>
    <comment ref="C109" authorId="0">
      <text>
        <r>
          <rPr>
            <b/>
            <sz val="9"/>
            <color indexed="81"/>
            <rFont val="Tahoma"/>
            <family val="2"/>
          </rPr>
          <t>Tom Syner:</t>
        </r>
        <r>
          <rPr>
            <sz val="9"/>
            <color indexed="81"/>
            <rFont val="Tahoma"/>
            <family val="2"/>
          </rPr>
          <t xml:space="preserve">
Filter:  account like "1904001%"</t>
        </r>
      </text>
    </comment>
    <comment ref="M118" authorId="0">
      <text>
        <r>
          <rPr>
            <b/>
            <sz val="9"/>
            <color indexed="81"/>
            <rFont val="Tahoma"/>
            <family val="2"/>
          </rPr>
          <t>Tom Syner:</t>
        </r>
        <r>
          <rPr>
            <sz val="9"/>
            <color indexed="81"/>
            <rFont val="Tahoma"/>
            <family val="2"/>
          </rPr>
          <t xml:space="preserve">
Filter:  account like "1901002%"</t>
        </r>
      </text>
    </comment>
  </commentList>
</comments>
</file>

<file path=xl/sharedStrings.xml><?xml version="1.0" encoding="utf-8"?>
<sst xmlns="http://schemas.openxmlformats.org/spreadsheetml/2006/main" count="2222" uniqueCount="1258">
  <si>
    <t>SPECIFIED DEFERRED CREDITS</t>
  </si>
  <si>
    <t>BOOK VS. TAX DEPRECIATION</t>
  </si>
  <si>
    <t>FERC ORDER 144 CATCH UP</t>
  </si>
  <si>
    <t>MNTR CARBON CAPTURE - SFAS 143 - ARO</t>
  </si>
  <si>
    <t>DFIT GENERATION PLANT</t>
  </si>
  <si>
    <t>ABFUDC - TRANSMISSION</t>
  </si>
  <si>
    <t>ABFUDC - GENERAL</t>
  </si>
  <si>
    <t>ABFUDC - DISTRIBUTION</t>
  </si>
  <si>
    <t>EXTRAORDINARY LOSS ON DISP OF PROP</t>
  </si>
  <si>
    <t>DEFD TAX GAIN - FIBER OPTIC LINE</t>
  </si>
  <si>
    <t>AMORT PERPETUAL TERM ELECT PLT</t>
  </si>
  <si>
    <t>REMOVAL COSTS</t>
  </si>
  <si>
    <t>REMOVAL COSTS - ARO-MTNR CARBON CAPTURE</t>
  </si>
  <si>
    <t>REMOVAL COSTS REV - SFAS 143 - ARO</t>
  </si>
  <si>
    <t>TAX WRITE OFF MINE DEVEL COSTS</t>
  </si>
  <si>
    <t>BK DEPLETION -- NUEAST</t>
  </si>
  <si>
    <t>2007 IRS AUDIT ADJUSTMENTS - A/C 282</t>
  </si>
  <si>
    <t>SW - UNDER RECOVERY FUEL COST</t>
  </si>
  <si>
    <t>SV - UNDER RECOVERY FUEL COST</t>
  </si>
  <si>
    <t>WV -ENEC UNDER RECOVERY BANK</t>
  </si>
  <si>
    <t>DEFD EQUITY CARRY CHGS - WV-ENEC</t>
  </si>
  <si>
    <t>WV UNRECOV FUEL POOL CAPACITY IMPACT</t>
  </si>
  <si>
    <t>PROPERTY TAX - NEW METHOD - BOOK</t>
  </si>
  <si>
    <t>ACCRUED BK PENSION COSTS - SFAS 158</t>
  </si>
  <si>
    <t>DEFD SYS RELIABILITY COSTS &amp; CARRYING CHARGES</t>
  </si>
  <si>
    <t>DEFD EQUITY CARRY CHRGS-RELIABILITY CAPITAL</t>
  </si>
  <si>
    <t>DEFD STORM DAMAGE</t>
  </si>
  <si>
    <t>BK DEFL - MACSS COSTS</t>
  </si>
  <si>
    <t>TRANSITION REGULATORY ASSETS</t>
  </si>
  <si>
    <t>TAX DEFL - NON-DEPRECIABLES</t>
  </si>
  <si>
    <t>REG ASSET-TRANS AGREEMENT PHASE-IN-WV</t>
  </si>
  <si>
    <t>REG ASSET-DEFD VA WIND REPLACEMENT CSTS</t>
  </si>
  <si>
    <t>REG ASSET-DEFERRED VA RPS INCREM COSTS-CURRENT</t>
  </si>
  <si>
    <t>REG ASSET-DEFERRED VA WIND NON-INCREM COSTS</t>
  </si>
  <si>
    <t>REG ASSET-DEFD VA SOFTWARE LICENSING EXPENSE</t>
  </si>
  <si>
    <t>STATE NOL CURRENT BENEFIT</t>
  </si>
  <si>
    <t>ADIT FED - HEDGE-INTEREST RATE 2830015</t>
  </si>
  <si>
    <t>ADIT FED - HEDGE-FOREIGN EXC 2830016</t>
  </si>
  <si>
    <t>SEC ALLOC - ITC - 46F1 - 10%</t>
  </si>
  <si>
    <t xml:space="preserve">HYDRO CREDIT - ITC - 46F1 </t>
  </si>
  <si>
    <t>DEFD BOOK GAIN - EPA AUCTION</t>
  </si>
  <si>
    <t>Tennessee Income Tax</t>
  </si>
  <si>
    <t>Virginia Net Income Tax</t>
  </si>
  <si>
    <t>West Virginia Net Income</t>
  </si>
  <si>
    <r>
      <t xml:space="preserve"> </t>
    </r>
    <r>
      <rPr>
        <i/>
        <sz val="10"/>
        <rFont val="Arial"/>
        <family val="2"/>
      </rPr>
      <t>References to data from FERC Form 1 page(s) 206,207, Ln. 50</t>
    </r>
  </si>
  <si>
    <t>Workpaper 8b - Effective Income Tax Rate</t>
  </si>
  <si>
    <t>Workpaper 8c - Taxes Other Than Income Taxes</t>
  </si>
  <si>
    <t>Workpaper 9a - Wages and Salaries</t>
  </si>
  <si>
    <t>Workpaper 9b - Production Payroll Demand/Energy Allocation</t>
  </si>
  <si>
    <t>Workpaper 10a - O &amp; M Expense Summary by Account</t>
  </si>
  <si>
    <t>Workpaper 11 - Regulatory Commission Expense</t>
  </si>
  <si>
    <t>Workpaper 12a - Common Stock</t>
  </si>
  <si>
    <t>Workpaper 13a - Recoverable Hedge Gains/Losses</t>
  </si>
  <si>
    <t>Workpaper 12b -  Preferred Stock</t>
  </si>
  <si>
    <t>Workpaper 13 - Outstanding Long-Term Debt</t>
  </si>
  <si>
    <t xml:space="preserve">Workpaper 14 - Non-Fuel Power Production O&amp;M Expenses </t>
  </si>
  <si>
    <t>Capactiy Cost of Service Formula Rate</t>
  </si>
  <si>
    <t>Workpaper 15c - Purchased Power</t>
  </si>
  <si>
    <t>Workpaper 15d - Off-System Sales</t>
  </si>
  <si>
    <t>Workpaper 16 - GSU Plant and Accumulated Depreciation Balance</t>
  </si>
  <si>
    <t>Workpaper 18 - Fuel Expense</t>
  </si>
  <si>
    <r>
      <t>Related</t>
    </r>
    <r>
      <rPr>
        <vertAlign val="superscript"/>
        <sz val="10"/>
        <rFont val="Arial"/>
        <family val="2"/>
      </rPr>
      <t>2</t>
    </r>
  </si>
  <si>
    <r>
      <t xml:space="preserve">2 </t>
    </r>
    <r>
      <rPr>
        <sz val="10"/>
        <rFont val="Arial"/>
        <family val="2"/>
      </rPr>
      <t>Data comparable to that reported in the FERC Form 1 is from the Company's Books and Records.</t>
    </r>
  </si>
  <si>
    <r>
      <t>2</t>
    </r>
    <r>
      <rPr>
        <sz val="10"/>
        <rFont val="Arial"/>
        <family val="2"/>
      </rPr>
      <t xml:space="preserve"> CBR indicates that data comparable to that reported in the FERC Form 1 is from the Company's Books and Records.</t>
    </r>
  </si>
  <si>
    <t>Intangible Plant (FF1, 205.2-5 g)</t>
  </si>
  <si>
    <t>General Plant (FF1 207.86-97 g)</t>
  </si>
  <si>
    <t xml:space="preserve">Workpaper 7 </t>
  </si>
  <si>
    <t xml:space="preserve">Workpaper 15b </t>
  </si>
  <si>
    <r>
      <t xml:space="preserve">2 </t>
    </r>
    <r>
      <rPr>
        <sz val="10"/>
        <rFont val="Arial"/>
        <family val="2"/>
      </rPr>
      <t>CBR indicates that data comparable to that reported in the FERC Form 1 is from the Company's Books and Records.</t>
    </r>
  </si>
  <si>
    <t>Organization</t>
  </si>
  <si>
    <t>Franchises and Consents</t>
  </si>
  <si>
    <t>Miscellaneous Intangible Plant</t>
  </si>
  <si>
    <t>TOTAL INTANGIBLE PLANT</t>
  </si>
  <si>
    <t>Gain Rsle/Cancl Req Cap Stock</t>
  </si>
  <si>
    <t>Appropriations of Retained Earnings</t>
  </si>
  <si>
    <t>Dividends Declared</t>
  </si>
  <si>
    <t>Transferred from Income</t>
  </si>
  <si>
    <t>OCI-for Commodity Hedges</t>
  </si>
  <si>
    <t>MTM BK GAIN - A/L - TAX DEFL</t>
  </si>
  <si>
    <t>DEFD TAX GAIN - EPA AUCTION</t>
  </si>
  <si>
    <t>REG ASSET - ACCRUED SFAS 112</t>
  </si>
  <si>
    <t>SFAS 109 FLOW-THRU 283.3</t>
  </si>
  <si>
    <t>SFAS 109 EXCESS DFIT 283.4</t>
  </si>
  <si>
    <t>SFAS 109 - DEFD STATE INCOME TAXES</t>
  </si>
  <si>
    <t>TOTAL ACCOUNT 283</t>
  </si>
  <si>
    <t>JURISDICTIONAL AMOUNTS FUNCTIONALIZED</t>
  </si>
  <si>
    <t>TOTAL COMPANY AMOUNTS FUNCTIONALIZED</t>
  </si>
  <si>
    <t>REFUNCTIONALIZED BASED ON JURISDICTIONAL PLANT</t>
  </si>
  <si>
    <t>NOTE:  POST 1970 ACCUMULATED DEFERRED</t>
  </si>
  <si>
    <t xml:space="preserve">             INV TAX CRED. (JDITC) IN A/C 255</t>
  </si>
  <si>
    <t>TOTAL ACCOUNT 255</t>
  </si>
  <si>
    <t>Apportionment Factor - Note 2</t>
  </si>
  <si>
    <t>Illinois Corporation Income Tax</t>
  </si>
  <si>
    <t>Michigan Business Income Tax</t>
  </si>
  <si>
    <t>P.263 ln 14 (i)</t>
  </si>
  <si>
    <t>P.263 ln 6 (i)</t>
  </si>
  <si>
    <t>Revenue Taxes</t>
  </si>
  <si>
    <t>Real Estate and Personal Property Taxes</t>
  </si>
  <si>
    <t xml:space="preserve">Payroll Taxes </t>
  </si>
  <si>
    <t>Production Taxes</t>
  </si>
  <si>
    <t xml:space="preserve">Miscellaneous Taxes </t>
  </si>
  <si>
    <t>Average Production System Peak Demand</t>
  </si>
  <si>
    <t xml:space="preserve">Total </t>
  </si>
  <si>
    <t>Total</t>
  </si>
  <si>
    <t>Retail</t>
  </si>
  <si>
    <t>Production</t>
  </si>
  <si>
    <t>Demand</t>
  </si>
  <si>
    <t>Energy</t>
  </si>
  <si>
    <t>Month</t>
  </si>
  <si>
    <t>Other</t>
  </si>
  <si>
    <t>Transmission</t>
  </si>
  <si>
    <t>Distribution</t>
  </si>
  <si>
    <t>Fuel</t>
  </si>
  <si>
    <t xml:space="preserve"> </t>
  </si>
  <si>
    <t>Description</t>
  </si>
  <si>
    <t xml:space="preserve">    Total</t>
  </si>
  <si>
    <t>Prepayments</t>
  </si>
  <si>
    <t>Account</t>
  </si>
  <si>
    <t>Intangible</t>
  </si>
  <si>
    <t>Land</t>
  </si>
  <si>
    <t>Structures</t>
  </si>
  <si>
    <t>Office Equipment</t>
  </si>
  <si>
    <t>Transportation</t>
  </si>
  <si>
    <t>Stores Equipment</t>
  </si>
  <si>
    <t>Tools, Shop, Garage, Etc.</t>
  </si>
  <si>
    <t>Laboratory Equipment</t>
  </si>
  <si>
    <t>Power Operated Equipment</t>
  </si>
  <si>
    <t>Communications Equipment</t>
  </si>
  <si>
    <t>Miscellaneous Equipment</t>
  </si>
  <si>
    <t>Line</t>
  </si>
  <si>
    <t>December</t>
  </si>
  <si>
    <t>General</t>
  </si>
  <si>
    <t>fpa</t>
  </si>
  <si>
    <t>beginning_balance</t>
  </si>
  <si>
    <t>ending_balance</t>
  </si>
  <si>
    <t>start_month</t>
  </si>
  <si>
    <t>Effective Income Tax Rate</t>
  </si>
  <si>
    <t>Customer Accounts</t>
  </si>
  <si>
    <t>Sales</t>
  </si>
  <si>
    <t>Administrative and General</t>
  </si>
  <si>
    <t>Allocation Factors</t>
  </si>
  <si>
    <t>Total Production</t>
  </si>
  <si>
    <t>Difference</t>
  </si>
  <si>
    <t>Operation Supv &amp; Engineering</t>
  </si>
  <si>
    <t>Steam Expenses</t>
  </si>
  <si>
    <t>Electric Expenses</t>
  </si>
  <si>
    <t>Misc. Steam Power Expense</t>
  </si>
  <si>
    <t>Rents</t>
  </si>
  <si>
    <t>Allowances</t>
  </si>
  <si>
    <t>Generation Expenses</t>
  </si>
  <si>
    <t>Misc. Power Generation Expense</t>
  </si>
  <si>
    <t>Total Operation</t>
  </si>
  <si>
    <t>Maintenance Supv &amp; Engineering</t>
  </si>
  <si>
    <t>Maintenance of Structures</t>
  </si>
  <si>
    <t>Maintenance of Boiler Plant</t>
  </si>
  <si>
    <t>Maintenance of Electric Plant</t>
  </si>
  <si>
    <t>Maintenance of Misc Plant</t>
  </si>
  <si>
    <t>Total Maintenance</t>
  </si>
  <si>
    <t>System Control</t>
  </si>
  <si>
    <t>Total Other</t>
  </si>
  <si>
    <t>Load Dispatching</t>
  </si>
  <si>
    <t>Station Expense</t>
  </si>
  <si>
    <t>Overhead Line Expense</t>
  </si>
  <si>
    <t>Underground Line Expense</t>
  </si>
  <si>
    <t>Trans of Electricity by Others</t>
  </si>
  <si>
    <t>Misc Transmission Expense</t>
  </si>
  <si>
    <t>Maintenance of Station Equip</t>
  </si>
  <si>
    <t>Maintenance of OH Lines</t>
  </si>
  <si>
    <t xml:space="preserve">Maintenance of Misc Trans </t>
  </si>
  <si>
    <t>Total Transmission</t>
  </si>
  <si>
    <t>Street Lighting</t>
  </si>
  <si>
    <t>Meter Expenses</t>
  </si>
  <si>
    <t>Customer Installations</t>
  </si>
  <si>
    <t>Misc Distribution Expense</t>
  </si>
  <si>
    <t>Maintenance of UG Lines</t>
  </si>
  <si>
    <t>Maintenance of Line Trsfrs</t>
  </si>
  <si>
    <t>Maintenance of Street Lights</t>
  </si>
  <si>
    <t>Maintenance of Meters</t>
  </si>
  <si>
    <t>Maintenance of Misc Dist Plant</t>
  </si>
  <si>
    <t>Total Distribution</t>
  </si>
  <si>
    <t>Supervision</t>
  </si>
  <si>
    <t>Meter Reading Expenses</t>
  </si>
  <si>
    <t>Customer Records/Collection</t>
  </si>
  <si>
    <t>Uncollectible Accounts</t>
  </si>
  <si>
    <t>Misc Customer Accts Exp</t>
  </si>
  <si>
    <t>Total Customer Accounts</t>
  </si>
  <si>
    <t>Customer Assistance</t>
  </si>
  <si>
    <t>Info &amp; Instructional Adv</t>
  </si>
  <si>
    <t>Selling Expenses</t>
  </si>
  <si>
    <t>Advertising Expenses</t>
  </si>
  <si>
    <t>A &amp; G Salaries</t>
  </si>
  <si>
    <t>Office Supplies &amp; Exp</t>
  </si>
  <si>
    <t>Outside Services</t>
  </si>
  <si>
    <t>Property Insurance</t>
  </si>
  <si>
    <t>Injuries and Damages</t>
  </si>
  <si>
    <t>Regulatory Commission Exp</t>
  </si>
  <si>
    <t>General Advertising Expense</t>
  </si>
  <si>
    <t>Maintenance of Gen Plant</t>
  </si>
  <si>
    <t>Sales Expense</t>
  </si>
  <si>
    <t>Interest &amp; Amortization on Long-Term Debt</t>
  </si>
  <si>
    <t>Common</t>
  </si>
  <si>
    <t>Preferred</t>
  </si>
  <si>
    <t>Dividends</t>
  </si>
  <si>
    <t xml:space="preserve">Account </t>
  </si>
  <si>
    <t>504 - Cr.</t>
  </si>
  <si>
    <t>522 - Cr.</t>
  </si>
  <si>
    <t xml:space="preserve">Energy </t>
  </si>
  <si>
    <t>Sub-Total</t>
  </si>
  <si>
    <t>Purchased Power</t>
  </si>
  <si>
    <t>%</t>
  </si>
  <si>
    <t>TOTAL GENERAL PLANT</t>
  </si>
  <si>
    <t>Production:</t>
  </si>
  <si>
    <t xml:space="preserve">  Operation </t>
  </si>
  <si>
    <t xml:space="preserve">  Maintenance</t>
  </si>
  <si>
    <t>Transmission:</t>
  </si>
  <si>
    <t xml:space="preserve">  Operation</t>
  </si>
  <si>
    <t>Distribution:</t>
  </si>
  <si>
    <t>Customer Service and Informational</t>
  </si>
  <si>
    <t>Total Wages and Salaries Excluding A &amp; G</t>
  </si>
  <si>
    <t xml:space="preserve">Total O &amp; M Payroll </t>
  </si>
  <si>
    <t>548</t>
  </si>
  <si>
    <t>549</t>
  </si>
  <si>
    <t>Maintenance of Generating &amp; Electric Plant</t>
  </si>
  <si>
    <t>Maintenance of Misc. Other Power Gen. Plant</t>
  </si>
  <si>
    <t>Other Expense</t>
  </si>
  <si>
    <t>564</t>
  </si>
  <si>
    <t>572</t>
  </si>
  <si>
    <t>Misc Cust Service &amp; Info Expense</t>
  </si>
  <si>
    <t>Total Customer Service</t>
  </si>
  <si>
    <t>Misc Sales Expense</t>
  </si>
  <si>
    <t>Total Sales Expense</t>
  </si>
  <si>
    <r>
      <t xml:space="preserve">Adm Exp Trsfr - </t>
    </r>
    <r>
      <rPr>
        <sz val="10"/>
        <color indexed="61"/>
        <rFont val="Arial"/>
        <family val="2"/>
      </rPr>
      <t>Credit</t>
    </r>
  </si>
  <si>
    <t>Franchise Requirements</t>
  </si>
  <si>
    <r>
      <t xml:space="preserve">Duplicate Charges - </t>
    </r>
    <r>
      <rPr>
        <sz val="10"/>
        <color indexed="61"/>
        <rFont val="Arial"/>
        <family val="2"/>
      </rPr>
      <t>Credit</t>
    </r>
  </si>
  <si>
    <t>Misc General Expense</t>
  </si>
  <si>
    <t>Company Dues and Memberships</t>
  </si>
  <si>
    <t>Total Administrative &amp; General</t>
  </si>
  <si>
    <t>Total O &amp; M Expenses</t>
  </si>
  <si>
    <t>Balance</t>
  </si>
  <si>
    <t>Advances from Associated Co</t>
  </si>
  <si>
    <t>Acct</t>
  </si>
  <si>
    <t>Installment Purchase Contracts</t>
  </si>
  <si>
    <t>Senior Unsecured Notes</t>
  </si>
  <si>
    <t>Debntr Trust Pref Secrty Insts</t>
  </si>
  <si>
    <t>Total Debt Outstanding</t>
  </si>
  <si>
    <t>2230000</t>
  </si>
  <si>
    <t>2240002</t>
  </si>
  <si>
    <t>2240006</t>
  </si>
  <si>
    <t>2240046</t>
  </si>
  <si>
    <t>Interest</t>
  </si>
  <si>
    <t>IPC</t>
  </si>
  <si>
    <t>4270002</t>
  </si>
  <si>
    <t>Unsecured</t>
  </si>
  <si>
    <t>4270006</t>
  </si>
  <si>
    <t>Amort Debt Disc/ Exp</t>
  </si>
  <si>
    <t>Amort Loss Reacq</t>
  </si>
  <si>
    <t>Assoc LT</t>
  </si>
  <si>
    <t>Amort Debt Premium</t>
  </si>
  <si>
    <t>Amort Gain Reacq</t>
  </si>
  <si>
    <t>Cost of Long Term Debt</t>
  </si>
  <si>
    <t>Amortized Investment Tax Credit (enter negative)</t>
  </si>
  <si>
    <t>FIT</t>
  </si>
  <si>
    <t>SIT</t>
  </si>
  <si>
    <t>Effective State Income Tax Rate</t>
  </si>
  <si>
    <t>Total Effective State Income Tax Rate</t>
  </si>
  <si>
    <t>Acct 428 (FF1, P.117, L.63)</t>
  </si>
  <si>
    <t>Acct 428.1 (FF1, P.117, L.64)</t>
  </si>
  <si>
    <t>(FF1, P.117,L.62)</t>
  </si>
  <si>
    <t>4300001 (FF1, P.117, L.67)</t>
  </si>
  <si>
    <t>Acct 429 (FF1, P.117, L.65)</t>
  </si>
  <si>
    <t>Acct 429.1 (FF1, P.117, L.66)</t>
  </si>
  <si>
    <t>Fuel Stock</t>
  </si>
  <si>
    <t>Period</t>
  </si>
  <si>
    <t>Coal</t>
  </si>
  <si>
    <t>Oil</t>
  </si>
  <si>
    <t>Gas</t>
  </si>
  <si>
    <t>Coal Trans</t>
  </si>
  <si>
    <r>
      <t>Source</t>
    </r>
    <r>
      <rPr>
        <u/>
        <vertAlign val="superscript"/>
        <sz val="10"/>
        <rFont val="Arial"/>
        <family val="2"/>
      </rPr>
      <t xml:space="preserve"> 1</t>
    </r>
  </si>
  <si>
    <t>CBR</t>
  </si>
  <si>
    <t>Notes:</t>
  </si>
  <si>
    <r>
      <t xml:space="preserve">1 </t>
    </r>
    <r>
      <rPr>
        <sz val="10"/>
        <rFont val="Arial"/>
        <family val="2"/>
      </rPr>
      <t>CBR indicates that data comparable to that reported in the FERC Form 1 is from the Company's Books and Records.</t>
    </r>
  </si>
  <si>
    <t>1540001</t>
  </si>
  <si>
    <t>1540004</t>
  </si>
  <si>
    <t>1540024</t>
  </si>
  <si>
    <t>M&amp;S</t>
  </si>
  <si>
    <t>Regular</t>
  </si>
  <si>
    <t>Exempt Material</t>
  </si>
  <si>
    <t>Proj Spares</t>
  </si>
  <si>
    <t>110.48.c</t>
  </si>
  <si>
    <t>1650001</t>
  </si>
  <si>
    <t>1650006</t>
  </si>
  <si>
    <t>1650009</t>
  </si>
  <si>
    <t>Insurance</t>
  </si>
  <si>
    <t>Carrying Cost</t>
  </si>
  <si>
    <t>111.57.c</t>
  </si>
  <si>
    <t>ARO</t>
  </si>
  <si>
    <t>Amount</t>
  </si>
  <si>
    <t>Source 1</t>
  </si>
  <si>
    <t>Excluding ARO</t>
  </si>
  <si>
    <r>
      <t>Source</t>
    </r>
    <r>
      <rPr>
        <vertAlign val="superscript"/>
        <sz val="10"/>
        <rFont val="Arial"/>
        <family val="2"/>
      </rPr>
      <t xml:space="preserve"> 1</t>
    </r>
  </si>
  <si>
    <t>112.3.c</t>
  </si>
  <si>
    <t>Acct 204</t>
  </si>
  <si>
    <t>Preferred Stock</t>
  </si>
  <si>
    <t>Premium on Preferred</t>
  </si>
  <si>
    <t>Acct 207</t>
  </si>
  <si>
    <t>112.6.c</t>
  </si>
  <si>
    <t>Payroll</t>
  </si>
  <si>
    <t xml:space="preserve">    EIT=(T/(1-T)) * (1-(WCLTD/WACC)) =</t>
  </si>
  <si>
    <t xml:space="preserve">      GRCF=1 / (1 - T)</t>
  </si>
  <si>
    <t>FF1 P.114, Ln.19, Col.c</t>
  </si>
  <si>
    <t>WCLTD</t>
  </si>
  <si>
    <t>WACC</t>
  </si>
  <si>
    <t>Unapprop</t>
  </si>
  <si>
    <t>Acc Oth</t>
  </si>
  <si>
    <t>Equity</t>
  </si>
  <si>
    <t>Capital</t>
  </si>
  <si>
    <t>Sub Earnings</t>
  </si>
  <si>
    <t>Comp Income</t>
  </si>
  <si>
    <t>2010001</t>
  </si>
  <si>
    <t>Common Stock Issued</t>
  </si>
  <si>
    <r>
      <t>Source</t>
    </r>
    <r>
      <rPr>
        <i/>
        <vertAlign val="superscript"/>
        <sz val="9"/>
        <rFont val="Arial"/>
        <family val="2"/>
      </rPr>
      <t xml:space="preserve"> 1</t>
    </r>
  </si>
  <si>
    <t>112.2.c</t>
  </si>
  <si>
    <t>2040002</t>
  </si>
  <si>
    <t>PS Not Subj to Mandatory Redem</t>
  </si>
  <si>
    <t>2080000</t>
  </si>
  <si>
    <t>Donations Recvd from Stckhldrs</t>
  </si>
  <si>
    <t>Miscellaneous Paid-In Capital</t>
  </si>
  <si>
    <t>112.7.c</t>
  </si>
  <si>
    <t>2160001</t>
  </si>
  <si>
    <t>Unapprp Retnd Erngs-Unrstrictd</t>
  </si>
  <si>
    <t>4370000</t>
  </si>
  <si>
    <t>Div Decl-PS Not Sub to Man Red</t>
  </si>
  <si>
    <t>4390000</t>
  </si>
  <si>
    <t>Adj to Retained Earnings</t>
  </si>
  <si>
    <t>Retained Earnings</t>
  </si>
  <si>
    <t>112.11.c</t>
  </si>
  <si>
    <t>2161001</t>
  </si>
  <si>
    <t>Unap Undist Consol Sub Erng</t>
  </si>
  <si>
    <t>2161002</t>
  </si>
  <si>
    <t>Unap Undist Nonconsol Sub Erng</t>
  </si>
  <si>
    <t>Equity in Earnings</t>
  </si>
  <si>
    <t>Unapprop Sub Earnings</t>
  </si>
  <si>
    <t>112.12.c</t>
  </si>
  <si>
    <t>2190004</t>
  </si>
  <si>
    <t>OCI-Min Pen Liab FAS 158-SERP</t>
  </si>
  <si>
    <t>2190006</t>
  </si>
  <si>
    <t>OCI-Min Pen Liab FAS 158-Qual</t>
  </si>
  <si>
    <t>2190007</t>
  </si>
  <si>
    <t>OCI-Min Pen Liab FAS 158-OPEB</t>
  </si>
  <si>
    <t>2190015</t>
  </si>
  <si>
    <t>Accum OCI-Hdg-CF-Int Rate</t>
  </si>
  <si>
    <t>2190016</t>
  </si>
  <si>
    <t>Accum OCI-Hdg-CF-For Exchg</t>
  </si>
  <si>
    <t>Acc Oth Comp Inc</t>
  </si>
  <si>
    <t>112.15.c</t>
  </si>
  <si>
    <t>Total Capital</t>
  </si>
  <si>
    <t>Common Equity Balance</t>
  </si>
  <si>
    <t>4181001 &amp; 002</t>
  </si>
  <si>
    <r>
      <t xml:space="preserve">   </t>
    </r>
    <r>
      <rPr>
        <sz val="10"/>
        <rFont val="Arial"/>
        <family val="2"/>
      </rPr>
      <t>ending total balances.</t>
    </r>
  </si>
  <si>
    <t>Source</t>
  </si>
  <si>
    <t>Steam Production</t>
  </si>
  <si>
    <t>FF1, 336, 7, b</t>
  </si>
  <si>
    <t>FF1, 336, 8, b</t>
  </si>
  <si>
    <t>Intangible Plant</t>
  </si>
  <si>
    <t>ARO Dep Exp</t>
  </si>
  <si>
    <t>FF1, 336, 12, c</t>
  </si>
  <si>
    <t>FF1, 336, 12, f</t>
  </si>
  <si>
    <t>Payroll Related Other Taxes</t>
  </si>
  <si>
    <t>Property Related Other Taxes</t>
  </si>
  <si>
    <t>Property</t>
  </si>
  <si>
    <t>Not Allocated ((Gross Receipts, Commission Assessments)</t>
  </si>
  <si>
    <t>NA</t>
  </si>
  <si>
    <t>Basis</t>
  </si>
  <si>
    <t>Amortization of Hedge Gain / Loss included in Acct 4270006</t>
  </si>
  <si>
    <t>Reconcilation to FF1, 257, 33, i</t>
  </si>
  <si>
    <t>Interest on LT Debt</t>
  </si>
  <si>
    <t>Interest on Assoc LT Debt</t>
  </si>
  <si>
    <t>Total (FF1, 257, 33, i)</t>
  </si>
  <si>
    <t>Reference</t>
  </si>
  <si>
    <t>Line 4</t>
  </si>
  <si>
    <t>Line 7</t>
  </si>
  <si>
    <t xml:space="preserve"> FF1, 112,20,c &amp; 112,21,c </t>
  </si>
  <si>
    <t>TRANSMISSION</t>
  </si>
  <si>
    <t>DISTRIBUTION</t>
  </si>
  <si>
    <t>Day</t>
  </si>
  <si>
    <t>Average Peak</t>
  </si>
  <si>
    <t>f</t>
  </si>
  <si>
    <t>Source(s)</t>
  </si>
  <si>
    <t>112.16.c</t>
  </si>
  <si>
    <t>a</t>
  </si>
  <si>
    <t>b</t>
  </si>
  <si>
    <t>c</t>
  </si>
  <si>
    <t>d</t>
  </si>
  <si>
    <t>e</t>
  </si>
  <si>
    <t>112.12.c.</t>
  </si>
  <si>
    <t>Source(s)*</t>
  </si>
  <si>
    <t>112.3.c,6.c.,7.c.</t>
  </si>
  <si>
    <t>G(L) on Reacq'd</t>
  </si>
  <si>
    <t>Premium</t>
  </si>
  <si>
    <t>(Discount)</t>
  </si>
  <si>
    <t>Issued</t>
  </si>
  <si>
    <t>g=a-b-c-d-e-f</t>
  </si>
  <si>
    <t>Acc 213</t>
  </si>
  <si>
    <t>112.9.c</t>
  </si>
  <si>
    <t>(Discount) on Preferred</t>
  </si>
  <si>
    <t>Other Paid in Capital - Pfd</t>
  </si>
  <si>
    <t>Acc 208-211</t>
  </si>
  <si>
    <t>Total Outstanding</t>
  </si>
  <si>
    <t>a+b-c+d</t>
  </si>
  <si>
    <t>(2)</t>
  </si>
  <si>
    <t>(1)</t>
  </si>
  <si>
    <t>NOTES:</t>
  </si>
  <si>
    <t>Accounts 207-213 are capital stock accounts containing both common and preferred capital.  Preferred portions of these accounts are from the CBR.</t>
  </si>
  <si>
    <t>All data is from the monthly Balance Sheet of the Company's Books and Records (CBR).</t>
  </si>
  <si>
    <t>NOTE:  * Includes preferred portions of capital stock (common and preferred) accounts according to Company Books and Records below.</t>
  </si>
  <si>
    <t>Bonds</t>
  </si>
  <si>
    <t>FF1 Reference</t>
  </si>
  <si>
    <t xml:space="preserve"> (Reacquired Bonds)</t>
  </si>
  <si>
    <t>112.19.c.</t>
  </si>
  <si>
    <t>112.18.c.</t>
  </si>
  <si>
    <t>g=a+b+c+d+e+f</t>
  </si>
  <si>
    <t xml:space="preserve">Cost of Preferred Stock = Pfd Dividends/Average Pfd Outstanding Balance = </t>
  </si>
  <si>
    <t xml:space="preserve"> 112.20.c. </t>
  </si>
  <si>
    <t xml:space="preserve"> 257, col. (h) </t>
  </si>
  <si>
    <t>Labor</t>
  </si>
  <si>
    <t>(subject to limit on B-13)</t>
  </si>
  <si>
    <t>Note A:</t>
  </si>
  <si>
    <t>End of Year</t>
  </si>
  <si>
    <t>State Income Tax Rate (Composite).</t>
  </si>
  <si>
    <r>
      <t>AEPSC</t>
    </r>
    <r>
      <rPr>
        <vertAlign val="superscript"/>
        <sz val="10"/>
        <rFont val="Arial"/>
        <family val="2"/>
      </rPr>
      <t xml:space="preserve"> 2</t>
    </r>
  </si>
  <si>
    <r>
      <t xml:space="preserve">2 </t>
    </r>
    <r>
      <rPr>
        <sz val="10"/>
        <rFont val="Arial"/>
        <family val="2"/>
      </rPr>
      <t>From Company Books and Records.</t>
    </r>
  </si>
  <si>
    <t>FF1, 214, d</t>
  </si>
  <si>
    <t>Acct 926 (0057) PBOP Medicare Part Subsidy</t>
  </si>
  <si>
    <t>PBOP Amounts in Annual Informational Filing</t>
  </si>
  <si>
    <t>fr_desc</t>
  </si>
  <si>
    <t>fc_sortid</t>
  </si>
  <si>
    <t>description</t>
  </si>
  <si>
    <t>additions</t>
  </si>
  <si>
    <t>retirements</t>
  </si>
  <si>
    <t>adjustments</t>
  </si>
  <si>
    <t>end_month</t>
  </si>
  <si>
    <t>none</t>
  </si>
  <si>
    <t>Transmission Plant - Electric</t>
  </si>
  <si>
    <t>353 - Station Equipment</t>
  </si>
  <si>
    <t>205.46.g</t>
  </si>
  <si>
    <t>207.58.g</t>
  </si>
  <si>
    <t>207.57.g</t>
  </si>
  <si>
    <t>207.75.g</t>
  </si>
  <si>
    <t>207.74.g</t>
  </si>
  <si>
    <t>207.99.g</t>
  </si>
  <si>
    <t>207.98.g</t>
  </si>
  <si>
    <t>205.5.g</t>
  </si>
  <si>
    <t>DEFD STATE INCOME TAXES</t>
  </si>
  <si>
    <t>GAIN/LOSS ON ACRS/MACRS PROPERTY</t>
  </si>
  <si>
    <t>ABFUDC</t>
  </si>
  <si>
    <t>PERCENT REPAIR ALLOWANCE</t>
  </si>
  <si>
    <t>CAPITALIZED RELOCATION COSTS</t>
  </si>
  <si>
    <t>BOOK LEASES CAPITALIZED FOR TAX</t>
  </si>
  <si>
    <t>LOSS ON REACQUIRED DEBT</t>
  </si>
  <si>
    <r>
      <t xml:space="preserve">1 </t>
    </r>
    <r>
      <rPr>
        <sz val="10"/>
        <rFont val="Arial"/>
        <family val="2"/>
      </rPr>
      <t>References to data from FERC Form 1 are indicated as page#, line#, col.# for the ending total balances.</t>
    </r>
  </si>
  <si>
    <t>Urea</t>
  </si>
  <si>
    <t>Lime &amp; Limestone Intrasit</t>
  </si>
  <si>
    <t>Employee Benefits</t>
  </si>
  <si>
    <t>COLUMN A</t>
  </si>
  <si>
    <t>COLUMN B</t>
  </si>
  <si>
    <t>COLUMN C</t>
  </si>
  <si>
    <t>COLUMN D</t>
  </si>
  <si>
    <t>COLUMN E</t>
  </si>
  <si>
    <t>COLUMN F</t>
  </si>
  <si>
    <t>COLUMN J</t>
  </si>
  <si>
    <t>COLUMN K</t>
  </si>
  <si>
    <t>COLUMN L</t>
  </si>
  <si>
    <t>COLUMN M</t>
  </si>
  <si>
    <t>COLUMN N</t>
  </si>
  <si>
    <t>COLUMN O</t>
  </si>
  <si>
    <t>PER BOOKS</t>
  </si>
  <si>
    <t>NON-APPLICABLE/NON-UTILITY</t>
  </si>
  <si>
    <t>AVERAGE</t>
  </si>
  <si>
    <t xml:space="preserve">ELECTRIC </t>
  </si>
  <si>
    <t>BALANCE AS</t>
  </si>
  <si>
    <t>UTILITY</t>
  </si>
  <si>
    <t>ACCUMULATED DEFERRED FIT ITEMS</t>
  </si>
  <si>
    <t>(B+C+D+E)/2</t>
  </si>
  <si>
    <t>GENERATION</t>
  </si>
  <si>
    <t>ACCOUNT 281:</t>
  </si>
  <si>
    <t xml:space="preserve">NON-UTILITY DEFERRED FIT </t>
  </si>
  <si>
    <t>SFAS 109 FLOW-THRU 281.3</t>
  </si>
  <si>
    <t>SFAS 109 EXCESS DFIT 281.4</t>
  </si>
  <si>
    <t>TOTAL ACCOUNT 281</t>
  </si>
  <si>
    <t>ACCOUNT 282:</t>
  </si>
  <si>
    <t>R &amp; D DEDUCTION - SECTION 174</t>
  </si>
  <si>
    <t>SEC 481 PENS/OPEB ADJUSTMENT</t>
  </si>
  <si>
    <t>BOOK/TAX UNIT OF PROPERTY ADJ</t>
  </si>
  <si>
    <t>BK/TAX UNIT OF PROPERTY ADJ-SEC 481 ADJ</t>
  </si>
  <si>
    <t>CAPITALIZED LEASES - A/C 1011 ASSETS</t>
  </si>
  <si>
    <t>SFAS 109 FLOW-THRU 282.3</t>
  </si>
  <si>
    <t>SFAS 109 EXCESS DFIT 282.4</t>
  </si>
  <si>
    <t>TOTAL ACOUNT 282</t>
  </si>
  <si>
    <t>ACCOUNT 283:</t>
  </si>
  <si>
    <t>1650001 -  This account shall include amounts representing prepayments of insurance.</t>
  </si>
  <si>
    <t>1650005 - This account shall include amounts representing prepayments of employee benefits.</t>
  </si>
  <si>
    <t>1650009 - This account is used for factoring the AEP-East electric accounts receivable.</t>
  </si>
  <si>
    <t>Direct Production Related</t>
  </si>
  <si>
    <t>Direct Distribution Related</t>
  </si>
  <si>
    <t>Water for Power</t>
  </si>
  <si>
    <t>Hydraulic Expenses</t>
  </si>
  <si>
    <t>Miscellaneous Hydraulic Power</t>
  </si>
  <si>
    <t>Maintenance of Reservious, Dams and Waterways</t>
  </si>
  <si>
    <t>Maintenance of Miscellaneous Hydraulic Plant</t>
  </si>
  <si>
    <t>Regional Market Expense</t>
  </si>
  <si>
    <t>Market Facilitation, Monitoring and Compliance</t>
  </si>
  <si>
    <t>Total Elec O &amp; M Exp. - FERC Form1 pg. 323, L. 198(b)</t>
  </si>
  <si>
    <t>company</t>
  </si>
  <si>
    <t>utility_account</t>
  </si>
  <si>
    <t>asset_location</t>
  </si>
  <si>
    <t>book_cost</t>
  </si>
  <si>
    <t>allocated_reserve</t>
  </si>
  <si>
    <t>net_book_value</t>
  </si>
  <si>
    <t>Amortization Period</t>
  </si>
  <si>
    <t>HEDGE AMOUNTS BY ISSUANCE (FROM p. 256-257 (i) of the FERC Form 1)</t>
  </si>
  <si>
    <t>Net Includable Hedge Amount</t>
  </si>
  <si>
    <t>Remaining Unamortized Balance</t>
  </si>
  <si>
    <t>Beginning</t>
  </si>
  <si>
    <t>Ending</t>
  </si>
  <si>
    <t>Total Hedge Amortization</t>
  </si>
  <si>
    <t>Non Labor</t>
  </si>
  <si>
    <t>1080001 ARO</t>
  </si>
  <si>
    <r>
      <t xml:space="preserve">1 </t>
    </r>
    <r>
      <rPr>
        <sz val="10"/>
        <rFont val="Arial"/>
        <family val="2"/>
      </rPr>
      <t>CBR indicates that data comparable to that reported in the FERC Form 1</t>
    </r>
  </si>
  <si>
    <t>is from the Company's Books and Records.</t>
  </si>
  <si>
    <r>
      <t xml:space="preserve">Demand ($) </t>
    </r>
    <r>
      <rPr>
        <vertAlign val="superscript"/>
        <sz val="10"/>
        <rFont val="Arial"/>
        <family val="2"/>
      </rPr>
      <t>1</t>
    </r>
  </si>
  <si>
    <r>
      <t xml:space="preserve">Energy ($) </t>
    </r>
    <r>
      <rPr>
        <u/>
        <vertAlign val="superscript"/>
        <sz val="10"/>
        <rFont val="Arial"/>
        <family val="2"/>
      </rPr>
      <t>1</t>
    </r>
  </si>
  <si>
    <r>
      <t xml:space="preserve">Demand ($) </t>
    </r>
    <r>
      <rPr>
        <u/>
        <vertAlign val="superscript"/>
        <sz val="10"/>
        <rFont val="Arial"/>
        <family val="2"/>
      </rPr>
      <t>1</t>
    </r>
  </si>
  <si>
    <t>transfers</t>
  </si>
  <si>
    <t xml:space="preserve">Hour </t>
  </si>
  <si>
    <t xml:space="preserve">Federal Unemployment Tax </t>
  </si>
  <si>
    <t xml:space="preserve">State Unemployment Insurance </t>
  </si>
  <si>
    <t xml:space="preserve">State Public Service Commission Fees </t>
  </si>
  <si>
    <t xml:space="preserve">State Franchise Taxes </t>
  </si>
  <si>
    <t xml:space="preserve">State Lic/Registration Fee  </t>
  </si>
  <si>
    <t xml:space="preserve">Sales &amp; Use </t>
  </si>
  <si>
    <t>Federal Excise Tax</t>
  </si>
  <si>
    <t>Fuel - Account 501</t>
  </si>
  <si>
    <t>320, 5, b</t>
  </si>
  <si>
    <t>Fuel Handling</t>
  </si>
  <si>
    <t>Sale of Fly Ash (Revenue &amp; Expense)</t>
  </si>
  <si>
    <t xml:space="preserve">CBR </t>
  </si>
  <si>
    <t>Total General and Intangible Exc. ARO</t>
  </si>
  <si>
    <t>Company's average five CP demands at time of PJM system peak.</t>
  </si>
  <si>
    <t xml:space="preserve">Total General and Intangible </t>
  </si>
  <si>
    <t>Note:  Total includes Intangible Plant.</t>
  </si>
  <si>
    <t>Demand (MW)</t>
  </si>
  <si>
    <r>
      <t xml:space="preserve">1 </t>
    </r>
    <r>
      <rPr>
        <sz val="10"/>
        <rFont val="Arial"/>
        <family val="2"/>
      </rPr>
      <t xml:space="preserve">References to data from FERC Form 1 are indicated as page#, line#, col.# for the </t>
    </r>
  </si>
  <si>
    <t>References to data from FERC Form 1 are indicated as page#, line#, col.# for the</t>
  </si>
  <si>
    <t>ending total balances.</t>
  </si>
  <si>
    <t>Load Dispatch-Reliability</t>
  </si>
  <si>
    <t>Load Dispatch-Monitor and Operate</t>
  </si>
  <si>
    <t>Load Dispatch-Transmission Service</t>
  </si>
  <si>
    <t>Scheduling, System Control</t>
  </si>
  <si>
    <t>Reliability, Planning and Standards Dev.</t>
  </si>
  <si>
    <t>Transmission Service Studies</t>
  </si>
  <si>
    <t>Generation Interconnection Studies</t>
  </si>
  <si>
    <r>
      <t xml:space="preserve">1 </t>
    </r>
    <r>
      <rPr>
        <sz val="9"/>
        <rFont val="Arial"/>
        <family val="2"/>
      </rPr>
      <t>References to data from FERC Form 1 are indicated as page#, line#, col.# for the ending total balances.</t>
    </r>
  </si>
  <si>
    <t>(EDT)</t>
  </si>
  <si>
    <t>Charge</t>
  </si>
  <si>
    <t>110.45.c</t>
  </si>
  <si>
    <t>In Transit</t>
  </si>
  <si>
    <t>1650021/1650023</t>
  </si>
  <si>
    <t>Ins. &amp; Lease</t>
  </si>
  <si>
    <t>Taxes</t>
  </si>
  <si>
    <t>FF1, 336, 10, b &amp; d</t>
  </si>
  <si>
    <t>TX AMORT POLLUTION CONT EQPT</t>
  </si>
  <si>
    <t>DEFD SFAS 106 BOOK COSTS</t>
  </si>
  <si>
    <t>SFAS 133 ADIT FED - SFAS 133 NONAFFIL 2830006</t>
  </si>
  <si>
    <t>July</t>
  </si>
  <si>
    <t>Mainteneance of Computer Hardware</t>
  </si>
  <si>
    <t>Maintenance of Computer Software</t>
  </si>
  <si>
    <t>Maintenance of Communication Equip</t>
  </si>
  <si>
    <t>Maintenance of Reactor Plant</t>
  </si>
  <si>
    <t>Maintenance of Misc. Nuclear Plant</t>
  </si>
  <si>
    <t>Coolants and Water</t>
  </si>
  <si>
    <t>Misc. Nuclear Power Expense</t>
  </si>
  <si>
    <t>OCI-Min Pen Liab FAS 158-Affil</t>
  </si>
  <si>
    <t>Senior Unsecured Notes - Series H</t>
  </si>
  <si>
    <t>Other Charges</t>
  </si>
  <si>
    <t>state</t>
  </si>
  <si>
    <t>month</t>
  </si>
  <si>
    <t>35200 - Structures and Improvements</t>
  </si>
  <si>
    <t>35300 - Station Equipment</t>
  </si>
  <si>
    <t>1080001/1080011</t>
  </si>
  <si>
    <t xml:space="preserve">Fuel </t>
  </si>
  <si>
    <t>Fuel - Account 518</t>
  </si>
  <si>
    <t>Total Fuel</t>
  </si>
  <si>
    <t>320, 25, b</t>
  </si>
  <si>
    <t>.</t>
  </si>
  <si>
    <t>1650021 - This account shall include amounts representing prepayments of insurance with EIS (Energy Insurance Services).</t>
  </si>
  <si>
    <t xml:space="preserve">1650023 - Track balance of prepaid lease expense for agreements that qualify as a lease under company policy and are not tracked in PowerPlant Lease Accounting system will use this account.  </t>
  </si>
  <si>
    <t>Undistributed</t>
  </si>
  <si>
    <t>110.46.c</t>
  </si>
  <si>
    <t>110.52.c</t>
  </si>
  <si>
    <r>
      <t xml:space="preserve">($) </t>
    </r>
    <r>
      <rPr>
        <u/>
        <vertAlign val="superscript"/>
        <sz val="10"/>
        <rFont val="Arial"/>
        <family val="2"/>
      </rPr>
      <t>1</t>
    </r>
    <r>
      <rPr>
        <u/>
        <sz val="10"/>
        <rFont val="Arial"/>
        <family val="2"/>
      </rPr>
      <t xml:space="preserve"> </t>
    </r>
  </si>
  <si>
    <t>205.5.g, 207.99.g</t>
  </si>
  <si>
    <t>Prem on Capital Stk</t>
  </si>
  <si>
    <t>Interest*</t>
  </si>
  <si>
    <r>
      <t xml:space="preserve">Demand </t>
    </r>
    <r>
      <rPr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</si>
  <si>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"/>
        <family val="2"/>
      </rPr>
      <t xml:space="preserve">CBR indicates that data comparable to that reported in the FERC Form 1 </t>
    </r>
  </si>
  <si>
    <t>Capacity Cost of Service Formula Rate</t>
  </si>
  <si>
    <t xml:space="preserve">  </t>
  </si>
  <si>
    <t>Workpaper 1 - Production System Peak Demand</t>
  </si>
  <si>
    <t>Workpaper 2 - Production Revenue Credits</t>
  </si>
  <si>
    <t xml:space="preserve">             Capacity Cost of Service Formula Rate</t>
  </si>
  <si>
    <t>Workpaper 5a - Materials and Supplies</t>
  </si>
  <si>
    <t xml:space="preserve">   Capacity Cost of Service Formula Rate</t>
  </si>
  <si>
    <t>Workpaper 5b - Fuel Inventory</t>
  </si>
  <si>
    <t>Workpaper 5c -  Prepayments</t>
  </si>
  <si>
    <t xml:space="preserve"> Capacity Cost of Service Formula Rate</t>
  </si>
  <si>
    <t>Workpaper 6a - Plant in Service</t>
  </si>
  <si>
    <t>Workpaper 6b - Accumulated Depreciation</t>
  </si>
  <si>
    <t xml:space="preserve">Workpaper 6c - General Plant and Intangible Plant </t>
  </si>
  <si>
    <t xml:space="preserve">Workpaper 4 </t>
  </si>
  <si>
    <t>Intentionally left blank - not applicable.</t>
  </si>
  <si>
    <t xml:space="preserve">Workpaper 15a </t>
  </si>
  <si>
    <t>Workpaper 17-Balance of Transmission Investment</t>
  </si>
  <si>
    <t>Workpaper 19 - Plant Held for Future Use</t>
  </si>
  <si>
    <t>REG ASSET-NET CCS FEED STUDY COSTS</t>
  </si>
  <si>
    <t>ACCRUED BK PENSION EXPENSE</t>
  </si>
  <si>
    <t>Appalachian Power Company</t>
  </si>
  <si>
    <t xml:space="preserve">Lime and </t>
  </si>
  <si>
    <t>Limestone</t>
  </si>
  <si>
    <t>Inventory</t>
  </si>
  <si>
    <t>Appalachian Power Power Company</t>
  </si>
  <si>
    <t>Prepays</t>
  </si>
  <si>
    <t>1650004 -  This account shall include amounts representing prepayments of interest.</t>
  </si>
  <si>
    <t xml:space="preserve">Appalachian Power Company </t>
  </si>
  <si>
    <t>Other Tangible Property</t>
  </si>
  <si>
    <t>Other Production Plant</t>
  </si>
  <si>
    <t>FF1, 336, 6 b</t>
  </si>
  <si>
    <t>(A)</t>
  </si>
  <si>
    <t>(C)</t>
  </si>
  <si>
    <t>(D)</t>
  </si>
  <si>
    <t>FERC FORM 1</t>
  </si>
  <si>
    <t>No.</t>
  </si>
  <si>
    <t>Tie-Back</t>
  </si>
  <si>
    <t>FERC FORM 1 Reference</t>
  </si>
  <si>
    <t>Gross Receipts Tax</t>
  </si>
  <si>
    <t>Real and Personal Property - West Virginia</t>
  </si>
  <si>
    <t>P.263 ln 34  (i)</t>
  </si>
  <si>
    <t>Real and Personal Property - Virginia</t>
  </si>
  <si>
    <t>P.263.2 ln 20  (i)</t>
  </si>
  <si>
    <t>Real and Personal Property - Tennessee</t>
  </si>
  <si>
    <t>Real and Personal Property - Other Jurisdictions</t>
  </si>
  <si>
    <t xml:space="preserve">Federal Insurance Contribution (FICA) </t>
  </si>
  <si>
    <t>P.263 ln 9 (i)</t>
  </si>
  <si>
    <t>State Severance Taxes</t>
  </si>
  <si>
    <t>State Business &amp; Occupation Tax</t>
  </si>
  <si>
    <t>P.263 ln 21 (i)</t>
  </si>
  <si>
    <t>P.263 ln 26 (i)</t>
  </si>
  <si>
    <t xml:space="preserve">Misc. State and Local Tax </t>
  </si>
  <si>
    <t>Michigan Single Business Tax</t>
  </si>
  <si>
    <t xml:space="preserve"> Total Taxes by Allocable Basis</t>
  </si>
  <si>
    <t>(Total Company Amount Ties to FFI p.114, Ln 14,(c))</t>
  </si>
  <si>
    <t>N/A</t>
  </si>
  <si>
    <r>
      <t>APCo</t>
    </r>
    <r>
      <rPr>
        <vertAlign val="superscript"/>
        <sz val="10"/>
        <rFont val="Arial"/>
        <family val="2"/>
      </rPr>
      <t>1</t>
    </r>
  </si>
  <si>
    <t>Acct 926 (0039) PBOP Gross Cost</t>
  </si>
  <si>
    <t>Senior Unsecured Notes - Series N</t>
  </si>
  <si>
    <t>Senior Unsecured Notes - Series Q</t>
  </si>
  <si>
    <t>Senior Unsecured Notes - Series T</t>
  </si>
  <si>
    <t>Appalachian Power - Gen</t>
  </si>
  <si>
    <t>Clinch River Generating Plant</t>
  </si>
  <si>
    <t>Clinch River Generating Plant : APCo : 0770</t>
  </si>
  <si>
    <t xml:space="preserve">VA                </t>
  </si>
  <si>
    <t xml:space="preserve">WV                </t>
  </si>
  <si>
    <t>Niagara Hydro Plant</t>
  </si>
  <si>
    <t>Niagara Hydro Plant : APCo : 0650</t>
  </si>
  <si>
    <t>Transmission Subs =&lt;69KV-VA, APCo</t>
  </si>
  <si>
    <t>Byllesby 69KV Substation : APCo : 0631</t>
  </si>
  <si>
    <t>Reusens 34.5KV Substation : APCo : 0681</t>
  </si>
  <si>
    <t>Transmission Subs =&lt;69KV-WV, APCo</t>
  </si>
  <si>
    <t>London Hydro 46KV Substation : APCo : 0521</t>
  </si>
  <si>
    <t>Marmet Hydro 46KV Substation : APCo : 0511</t>
  </si>
  <si>
    <t>Winfield Hydro 69KV Substation : APCo : 0531</t>
  </si>
  <si>
    <t>Transmission Subs 138KV-VA, APCo</t>
  </si>
  <si>
    <t>Claytor 138KV Substation : APCo : 0621</t>
  </si>
  <si>
    <t>Clinch River 138KV Substation : APCo : 0771</t>
  </si>
  <si>
    <t>Leesville 138KV Substation : APCo : 0691</t>
  </si>
  <si>
    <t>Appalachian Power - Gen Total</t>
  </si>
  <si>
    <t>Fuel - Account 547</t>
  </si>
  <si>
    <t>321, 63, b</t>
  </si>
  <si>
    <t>Labor Related</t>
  </si>
  <si>
    <t>Energy Related</t>
  </si>
  <si>
    <t>Demand Related</t>
  </si>
  <si>
    <t xml:space="preserve">Excluded </t>
  </si>
  <si>
    <t>Excluded</t>
  </si>
  <si>
    <r>
      <t>($) Margins</t>
    </r>
    <r>
      <rPr>
        <u/>
        <vertAlign val="superscript"/>
        <sz val="10"/>
        <rFont val="Arial"/>
        <family val="2"/>
      </rPr>
      <t xml:space="preserve"> 2</t>
    </r>
  </si>
  <si>
    <t>Less Carbon</t>
  </si>
  <si>
    <t>Total Purchased Power</t>
  </si>
  <si>
    <t>Expense</t>
  </si>
  <si>
    <t xml:space="preserve">Workpaper 3 </t>
  </si>
  <si>
    <t xml:space="preserve">Excluding ARO </t>
  </si>
  <si>
    <t>Workpaper 8a</t>
  </si>
  <si>
    <t xml:space="preserve">Annual Tax Expenses by Type </t>
  </si>
  <si>
    <r>
      <t>Charges</t>
    </r>
    <r>
      <rPr>
        <u/>
        <vertAlign val="superscript"/>
        <sz val="10"/>
        <rFont val="Arial"/>
        <family val="2"/>
      </rPr>
      <t xml:space="preserve"> 2</t>
    </r>
  </si>
  <si>
    <t>FF1, 336, 1, d</t>
  </si>
  <si>
    <r>
      <t xml:space="preserve">1 </t>
    </r>
    <r>
      <rPr>
        <sz val="10"/>
        <rFont val="Arial"/>
        <family val="2"/>
      </rPr>
      <t>Wages and Salaries from FERC Form Pg. 354.</t>
    </r>
  </si>
  <si>
    <t>1650006 - This account shall include amounts representing prepayments of other items not listed.</t>
  </si>
  <si>
    <r>
      <t>2</t>
    </r>
    <r>
      <rPr>
        <sz val="10"/>
        <rFont val="Arial"/>
        <family val="2"/>
      </rPr>
      <t xml:space="preserve"> margins provided by Accounting (represents 75% of system sales margins)</t>
    </r>
  </si>
  <si>
    <t>112.15.c.</t>
  </si>
  <si>
    <t>Allowable Expense</t>
  </si>
  <si>
    <t>Actual Expense - Removed from Cost of Service</t>
  </si>
  <si>
    <t>926a</t>
  </si>
  <si>
    <t>926b</t>
  </si>
  <si>
    <t>Allowed Employee Benefits (Note B)</t>
  </si>
  <si>
    <t>Less:  Actual Employee Benefits (Note A)</t>
  </si>
  <si>
    <t xml:space="preserve">Employee Benefits </t>
  </si>
  <si>
    <t>PBOP Amounts Recovery Allowance</t>
  </si>
  <si>
    <r>
      <t>Function</t>
    </r>
    <r>
      <rPr>
        <u/>
        <vertAlign val="superscript"/>
        <sz val="10"/>
        <rFont val="Arial"/>
        <family val="2"/>
      </rPr>
      <t xml:space="preserve"> 2</t>
    </r>
  </si>
  <si>
    <r>
      <t xml:space="preserve">Function </t>
    </r>
    <r>
      <rPr>
        <u/>
        <vertAlign val="superscript"/>
        <sz val="10"/>
        <rFont val="Arial"/>
        <family val="2"/>
      </rPr>
      <t>2</t>
    </r>
  </si>
  <si>
    <t>Misc. Exp.</t>
  </si>
  <si>
    <t>FF1, pg., Ln. Col.</t>
  </si>
  <si>
    <t>Virginia RPS-RAC</t>
  </si>
  <si>
    <t>Leesville Hydro Project - Adm. Federal Power Act</t>
  </si>
  <si>
    <t>Smith Mountain - Adm. Federal Power Act</t>
  </si>
  <si>
    <t>351, Ln. 33, Col(h)</t>
  </si>
  <si>
    <t>351, Ln. 35, Col(h)</t>
  </si>
  <si>
    <t>351, Ln. 37, Col(h)</t>
  </si>
  <si>
    <t>351, Ln. 39, Col(h)</t>
  </si>
  <si>
    <t>351, Ln. 41, Col(h)</t>
  </si>
  <si>
    <t>351, Ln. 43, Col(h)</t>
  </si>
  <si>
    <t>351, Ln. 45, Col(h)</t>
  </si>
  <si>
    <t>351, Ln. 3, Col(h)</t>
  </si>
  <si>
    <t>351, Ln. 7, Col(h)</t>
  </si>
  <si>
    <t>Claytor Hydro Project - Adm. Federal Power Act</t>
  </si>
  <si>
    <t>351, Ln. 11, Col(h)</t>
  </si>
  <si>
    <t>Byllesby Buck Hydro Project - Adm. Federal Power Act</t>
  </si>
  <si>
    <t>351, Ln. 15, Col(h)</t>
  </si>
  <si>
    <t>Marmet and London Hydro - Adm. Federal Power Act</t>
  </si>
  <si>
    <t>351, Ln. 19, Col(h)</t>
  </si>
  <si>
    <t>Winfield Hydro - Adm. Federal Power Act</t>
  </si>
  <si>
    <t>351, Ln. 23, Col(h)</t>
  </si>
  <si>
    <t>Reusens Hydro Project - Adm. Federal Power Act</t>
  </si>
  <si>
    <t>351, Ln. 27, Col(h)</t>
  </si>
  <si>
    <t>Niagara Hydro Project - Adm. Federal Power Act</t>
  </si>
  <si>
    <t>351, Ln. 31, Col(h)</t>
  </si>
  <si>
    <t>Total Wholesale</t>
  </si>
  <si>
    <t>Total Retail</t>
  </si>
  <si>
    <t>Reconciliation Account 430</t>
  </si>
  <si>
    <t>Interest Expense Long Term Debt</t>
  </si>
  <si>
    <t>Interest Expense Short Term Debt</t>
  </si>
  <si>
    <t>FF1, pg. 117, Ln. 67</t>
  </si>
  <si>
    <r>
      <t>2</t>
    </r>
    <r>
      <rPr>
        <sz val="10"/>
        <rFont val="Arial"/>
        <family val="2"/>
      </rPr>
      <t xml:space="preserve">  The deferred portion of APCo's capacity equalization payments related to environmental compliance investments FF 1, pg. 327, column (l)</t>
    </r>
  </si>
  <si>
    <t>Hydraulic  Production-Pumped Storage</t>
  </si>
  <si>
    <t>Hydraulic Production - Conventional</t>
  </si>
  <si>
    <t>FF1, 336, 4 b</t>
  </si>
  <si>
    <t>FF1, 336, 5 b</t>
  </si>
  <si>
    <t>FF1, 336, 12, b &amp; d</t>
  </si>
  <si>
    <t>Depreciation and Amortization Expense</t>
  </si>
  <si>
    <r>
      <t xml:space="preserve">1 </t>
    </r>
    <r>
      <rPr>
        <sz val="10"/>
        <rFont val="Arial"/>
        <family val="2"/>
      </rPr>
      <t>CBR indicates that data comparable to that reported in the FERC Form 1 is from the Company's Books and Records.</t>
    </r>
  </si>
  <si>
    <r>
      <t xml:space="preserve">2  </t>
    </r>
    <r>
      <rPr>
        <sz val="10"/>
        <rFont val="Arial"/>
        <family val="2"/>
      </rPr>
      <t>Note:  Excludes reserve on Asset Retirement Obligations, to reflect their removal from gross plant.</t>
    </r>
  </si>
  <si>
    <r>
      <t xml:space="preserve">3  </t>
    </r>
    <r>
      <rPr>
        <sz val="10"/>
        <rFont val="Arial"/>
        <family val="2"/>
      </rPr>
      <t>References to data from FERC Form 1 are indicated as page#, line#, col.# for the total balances.</t>
    </r>
  </si>
  <si>
    <t>320.6.(b)</t>
  </si>
  <si>
    <t>320.9.(b)</t>
  </si>
  <si>
    <t>320.10.(b)</t>
  </si>
  <si>
    <t>320.11.(b)</t>
  </si>
  <si>
    <t>320.12.(b)</t>
  </si>
  <si>
    <t>320.24.(b)</t>
  </si>
  <si>
    <t>320.26.(b)</t>
  </si>
  <si>
    <t>320.27.(b)</t>
  </si>
  <si>
    <t>320.30.(b)</t>
  </si>
  <si>
    <t>320.31.(b)</t>
  </si>
  <si>
    <t>320.44.(b)</t>
  </si>
  <si>
    <t>320.45.(b)</t>
  </si>
  <si>
    <t>320.46.(b)</t>
  </si>
  <si>
    <t>320.47.(b)</t>
  </si>
  <si>
    <t>320.48.(b)</t>
  </si>
  <si>
    <t>321.62.(b)</t>
  </si>
  <si>
    <t>321.63.(b)</t>
  </si>
  <si>
    <t>321.64.(b)</t>
  </si>
  <si>
    <t>321.65.(b)</t>
  </si>
  <si>
    <t>320.15.(b)</t>
  </si>
  <si>
    <t>320.16.(b)</t>
  </si>
  <si>
    <t>320.17.(b)</t>
  </si>
  <si>
    <t>320.18.(b)</t>
  </si>
  <si>
    <t>320.19.(b)</t>
  </si>
  <si>
    <t>320.35.(b)</t>
  </si>
  <si>
    <t>320.36.(b)</t>
  </si>
  <si>
    <t>320.37.(b)</t>
  </si>
  <si>
    <t>320.38.(b)</t>
  </si>
  <si>
    <t>320.39.(b)</t>
  </si>
  <si>
    <t>320.53.(b)</t>
  </si>
  <si>
    <t>320.54.(b)</t>
  </si>
  <si>
    <t>320.55.(b)</t>
  </si>
  <si>
    <t>320.56.(b)</t>
  </si>
  <si>
    <t>320.57.(b)</t>
  </si>
  <si>
    <t>321.69.(b)</t>
  </si>
  <si>
    <t>321.71.(b)</t>
  </si>
  <si>
    <t>321.76.(b)</t>
  </si>
  <si>
    <t>321.77.(b)</t>
  </si>
  <si>
    <t>321.78.(b)</t>
  </si>
  <si>
    <t>321.79.(b)</t>
  </si>
  <si>
    <t>321.80.(b)</t>
  </si>
  <si>
    <t>321.83.(b)</t>
  </si>
  <si>
    <t>321.85.(b)</t>
  </si>
  <si>
    <t>321.86.(b)</t>
  </si>
  <si>
    <t>321.87.(b)</t>
  </si>
  <si>
    <t>321.88.(b)</t>
  </si>
  <si>
    <t>321.89.(b)</t>
  </si>
  <si>
    <t>321.90.(b)</t>
  </si>
  <si>
    <t>321.91.(b)</t>
  </si>
  <si>
    <t>321.92.(b)</t>
  </si>
  <si>
    <t>321.93.(b)</t>
  </si>
  <si>
    <t>321.94.(b)</t>
  </si>
  <si>
    <t>321.95.(b)</t>
  </si>
  <si>
    <t>321.96.(b)</t>
  </si>
  <si>
    <t>321.97.(b)</t>
  </si>
  <si>
    <t>321.98.(b)</t>
  </si>
  <si>
    <t>321.99.(b)</t>
  </si>
  <si>
    <t>321.101.(b)</t>
  </si>
  <si>
    <t>321.102.(b)</t>
  </si>
  <si>
    <t>321.103.(b)</t>
  </si>
  <si>
    <t>321.104.(b)</t>
  </si>
  <si>
    <t>321.105.(b)</t>
  </si>
  <si>
    <t>321.107.(b)</t>
  </si>
  <si>
    <t>321.108.(b)</t>
  </si>
  <si>
    <t>321.109.(b)</t>
  </si>
  <si>
    <t>321.110.(b)</t>
  </si>
  <si>
    <t>321.111.(b)</t>
  </si>
  <si>
    <t>321.112.(b)</t>
  </si>
  <si>
    <t>322.121.(b)</t>
  </si>
  <si>
    <t>322.134.(b)</t>
  </si>
  <si>
    <t>322.135.(b)</t>
  </si>
  <si>
    <t>322.136.(b)</t>
  </si>
  <si>
    <t>322.137.(b)</t>
  </si>
  <si>
    <t>322.138.(b)</t>
  </si>
  <si>
    <t>322.139.(b)</t>
  </si>
  <si>
    <t>322.140.(b)</t>
  </si>
  <si>
    <t>322.141.(b)</t>
  </si>
  <si>
    <t>322.142.(b)</t>
  </si>
  <si>
    <t>322.143.(b)</t>
  </si>
  <si>
    <t>322.144.(b)</t>
  </si>
  <si>
    <t>322.146.(b)</t>
  </si>
  <si>
    <t>322.147.(b)</t>
  </si>
  <si>
    <t>322.148.(b)</t>
  </si>
  <si>
    <t>322.149.(b)</t>
  </si>
  <si>
    <t>322.150.(b)</t>
  </si>
  <si>
    <t>322.151.(b)</t>
  </si>
  <si>
    <t>322.152.(b)</t>
  </si>
  <si>
    <t>322.153.(b)</t>
  </si>
  <si>
    <t>322.154.(b)</t>
  </si>
  <si>
    <t>322.155.(b)</t>
  </si>
  <si>
    <t>322.156.(b)</t>
  </si>
  <si>
    <t>322.159.(b)</t>
  </si>
  <si>
    <t>322.160.(b)</t>
  </si>
  <si>
    <t>322.161.(b)</t>
  </si>
  <si>
    <t>322.162.(b)</t>
  </si>
  <si>
    <t>322.163.(b)</t>
  </si>
  <si>
    <t>322.164.(b)</t>
  </si>
  <si>
    <t>323.167.(b)</t>
  </si>
  <si>
    <t>323.168.(b)</t>
  </si>
  <si>
    <t>323.169.(b)</t>
  </si>
  <si>
    <t>323.170.(b)</t>
  </si>
  <si>
    <t>323.174.(b)</t>
  </si>
  <si>
    <t>323.175.(b)</t>
  </si>
  <si>
    <t>323.176.(b)</t>
  </si>
  <si>
    <t>323.177.(b)</t>
  </si>
  <si>
    <t>323.178.(b)</t>
  </si>
  <si>
    <t>323.181.(b)</t>
  </si>
  <si>
    <t>323.182.(b)</t>
  </si>
  <si>
    <t>323.183.(b)</t>
  </si>
  <si>
    <t>323.184.(b)</t>
  </si>
  <si>
    <t>323.185.(b)</t>
  </si>
  <si>
    <t>323.186.(b)</t>
  </si>
  <si>
    <t>323.187.(b)</t>
  </si>
  <si>
    <t>323.188.(b)</t>
  </si>
  <si>
    <t>323.189.(b)</t>
  </si>
  <si>
    <t>323.190.(b)</t>
  </si>
  <si>
    <t>323.191.(b)</t>
  </si>
  <si>
    <t>323.192.(b)</t>
  </si>
  <si>
    <t>323.193.(b)</t>
  </si>
  <si>
    <t>320.194.(b)</t>
  </si>
  <si>
    <t>323.196.(b)</t>
  </si>
  <si>
    <t>323.197.(b)</t>
  </si>
  <si>
    <t>323.198.(b)</t>
  </si>
  <si>
    <t>Total FF1, pg. 351, Ln. 46, Col(h)</t>
  </si>
  <si>
    <r>
      <t>Wholesale - FERC</t>
    </r>
    <r>
      <rPr>
        <i/>
        <vertAlign val="superscript"/>
        <sz val="12"/>
        <rFont val="Arial"/>
        <family val="2"/>
      </rPr>
      <t>1</t>
    </r>
    <r>
      <rPr>
        <i/>
        <sz val="12"/>
        <rFont val="Arial"/>
        <family val="2"/>
      </rPr>
      <t xml:space="preserve"> 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</si>
  <si>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 Assessment for cost of administration of Federal Water Power Act.</t>
    </r>
  </si>
  <si>
    <t>Total Depreciation Expense</t>
  </si>
  <si>
    <t>Total Allocated Labor Expense</t>
  </si>
  <si>
    <r>
      <t xml:space="preserve">Demand </t>
    </r>
    <r>
      <rPr>
        <u/>
        <vertAlign val="superscript"/>
        <sz val="6"/>
        <rFont val="Arial"/>
        <family val="2"/>
      </rPr>
      <t>1</t>
    </r>
  </si>
  <si>
    <r>
      <t xml:space="preserve">Energy </t>
    </r>
    <r>
      <rPr>
        <u/>
        <vertAlign val="superscript"/>
        <sz val="6"/>
        <rFont val="Arial"/>
        <family val="2"/>
      </rPr>
      <t>1</t>
    </r>
  </si>
  <si>
    <t>Operation Supervision and Engineering</t>
  </si>
  <si>
    <t>Steam Expense</t>
  </si>
  <si>
    <t>Electric Expense</t>
  </si>
  <si>
    <t>Misc Nuclear Power Expense</t>
  </si>
  <si>
    <t>Maintenance of Misc Nuclear Plant</t>
  </si>
  <si>
    <t>Maint of Reservoirs, Dams and Waterways</t>
  </si>
  <si>
    <t>Maintenance of Misc Hydraulic Plant</t>
  </si>
  <si>
    <t>Misc Power Generation Exp</t>
  </si>
  <si>
    <t>Maintenance of Misc Other Power Gen Plant</t>
  </si>
  <si>
    <t>Workpaper 6d - Depreciation Expense</t>
  </si>
  <si>
    <t>320.4.(b)</t>
  </si>
  <si>
    <t>320.5.(b)</t>
  </si>
  <si>
    <t>320.25.(b)</t>
  </si>
  <si>
    <t>320.49.(b)</t>
  </si>
  <si>
    <t>321.72.(b)</t>
  </si>
  <si>
    <t>323.171.(b)</t>
  </si>
  <si>
    <t>Note A:  Changing PBOP included in the formula rate will require, as applicable, a FPA Section 205 or Section 206 filing.</t>
  </si>
  <si>
    <t>327, j</t>
  </si>
  <si>
    <t xml:space="preserve">327,  k </t>
  </si>
  <si>
    <t>327,l</t>
  </si>
  <si>
    <t>327,m</t>
  </si>
  <si>
    <t xml:space="preserve">  FF1, 311, h, i, j (Non-RQ)</t>
  </si>
  <si>
    <t>205.15,24,34,44.g</t>
  </si>
  <si>
    <t>(B)</t>
  </si>
  <si>
    <r>
      <t xml:space="preserve">2 </t>
    </r>
    <r>
      <rPr>
        <sz val="9"/>
        <rFont val="Arial"/>
        <family val="2"/>
      </rPr>
      <t>CBR indicates that data comparable to that reported in the FERC Form 1 is from the Company's Books and Records.</t>
    </r>
  </si>
  <si>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CBR indicates that data comparable to that reported in the FERC Form 1 is from the Company's Books and Records.</t>
    </r>
  </si>
  <si>
    <r>
      <t>Source</t>
    </r>
    <r>
      <rPr>
        <u/>
        <vertAlign val="superscript"/>
        <sz val="10"/>
        <rFont val="Arial"/>
        <family val="2"/>
      </rPr>
      <t xml:space="preserve"> 1 2</t>
    </r>
  </si>
  <si>
    <r>
      <t>Source</t>
    </r>
    <r>
      <rPr>
        <vertAlign val="superscript"/>
        <sz val="10"/>
        <rFont val="Arial"/>
        <family val="2"/>
      </rPr>
      <t xml:space="preserve"> 1 </t>
    </r>
  </si>
  <si>
    <t xml:space="preserve">       where WCLTD and WACC from Appendix 2, pg. 11, Col.(4)</t>
  </si>
  <si>
    <t xml:space="preserve">     T=1 - {[(1 - SIT) * (1 - FIT)] / (1 - SIT * FIT * P)} =</t>
  </si>
  <si>
    <t>P</t>
  </si>
  <si>
    <t>320.7.(b)</t>
  </si>
  <si>
    <t>320.8.(b)</t>
  </si>
  <si>
    <t>320.28.(b)</t>
  </si>
  <si>
    <t>320.29.(b)</t>
  </si>
  <si>
    <t>321.66.(b)</t>
  </si>
  <si>
    <t>321.70.(b)</t>
  </si>
  <si>
    <t>Page 1 of 4</t>
  </si>
  <si>
    <t>Page 2 of 4</t>
  </si>
  <si>
    <t>Page 3 of 4</t>
  </si>
  <si>
    <t>Page 4 of 4</t>
  </si>
  <si>
    <t xml:space="preserve">       and FIT, SIT &amp; P are as shown below.</t>
  </si>
  <si>
    <t>Page 1 of 2</t>
  </si>
  <si>
    <t>Page 2 of 2</t>
  </si>
  <si>
    <t>320.32.(b)</t>
  </si>
  <si>
    <r>
      <t>Capture Expense</t>
    </r>
    <r>
      <rPr>
        <u/>
        <vertAlign val="superscript"/>
        <sz val="10"/>
        <rFont val="Arial"/>
        <family val="2"/>
      </rPr>
      <t xml:space="preserve"> 2</t>
    </r>
  </si>
  <si>
    <r>
      <t>Source</t>
    </r>
    <r>
      <rPr>
        <vertAlign val="superscript"/>
        <sz val="6"/>
        <rFont val="Arial"/>
        <family val="2"/>
      </rPr>
      <t xml:space="preserve"> 1</t>
    </r>
  </si>
  <si>
    <r>
      <t>2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From Company's Books and Records.</t>
    </r>
  </si>
  <si>
    <r>
      <t xml:space="preserve">1  </t>
    </r>
    <r>
      <rPr>
        <sz val="10"/>
        <rFont val="Arial"/>
        <family val="2"/>
      </rPr>
      <t>References to data from FERC Form 1 are indicated as page#, line#, col.# for the ending total balances pgs. 320-323,,b</t>
    </r>
  </si>
  <si>
    <t>Percent of FIT deductible for state purposes (Note 3).</t>
  </si>
  <si>
    <t>Note 1:  Apportionment Factors are determined as part of the Company's annual tax return for that jurisdiction.</t>
  </si>
  <si>
    <t>Note 3:  Percent deductible for state purposes provided from Company's books and records.</t>
  </si>
  <si>
    <t>Note 2:  From Company Books and Records.</t>
  </si>
  <si>
    <r>
      <t>Rate Base</t>
    </r>
    <r>
      <rPr>
        <vertAlign val="superscript"/>
        <sz val="10"/>
        <rFont val="Arial"/>
        <family val="2"/>
      </rPr>
      <t>2</t>
    </r>
  </si>
  <si>
    <t>General Plant (FF1, 207.86-97,g)</t>
  </si>
  <si>
    <t>FF1, 336, 2, b &amp; d</t>
  </si>
  <si>
    <r>
      <t>CBR</t>
    </r>
    <r>
      <rPr>
        <vertAlign val="superscript"/>
        <sz val="10"/>
        <rFont val="Arial"/>
        <family val="2"/>
      </rPr>
      <t>2</t>
    </r>
  </si>
  <si>
    <t>West Virginia ENEC</t>
  </si>
  <si>
    <t>Virginia IRP</t>
  </si>
  <si>
    <t>Total Hedge Gain or Loss for 2013</t>
  </si>
  <si>
    <t>Dresden Generating Plant</t>
  </si>
  <si>
    <t>Dresden Generating Plant : APCo : DRESGP</t>
  </si>
  <si>
    <t xml:space="preserve">OH                </t>
  </si>
  <si>
    <t>Dresden Plant - Virginia AFUDC : APCo : DRESAFUDCVA</t>
  </si>
  <si>
    <t>John E. Amos Generating Plant Unit 3 : APCo : 0743</t>
  </si>
  <si>
    <t>John E. Amos Generating Plant Units 1 &amp; 2 : APCo : 0740</t>
  </si>
  <si>
    <t>APPALACHIAN POWER COMPANY</t>
  </si>
  <si>
    <t>DISALLOWED COSTS-RESERVE DEFICIENCY-APCO VA</t>
  </si>
  <si>
    <t>GAIN ON REACQUIRED DEBT</t>
  </si>
  <si>
    <t>NOL - STATE C/F - DEF STATE TAX ASSET - L/T</t>
  </si>
  <si>
    <t>WV CENTURY ENEC UNDER RECOVERY</t>
  </si>
  <si>
    <t>WV UNREC FUEL DISPUTED COAL INV</t>
  </si>
  <si>
    <t>PROP TX-STATE 2 OLD METHOD-TX</t>
  </si>
  <si>
    <t>DEFD TAX GAIN - APCO WV SEC REG ASSET</t>
  </si>
  <si>
    <t>DEFD BK LOSS-NON AFF SALE-EMA</t>
  </si>
  <si>
    <t>REG ASSET-DEFD SEVERANCE COSTS</t>
  </si>
  <si>
    <t>REG ASSET-DEFD VA DEMAND RESPONSE PROGRAM</t>
  </si>
  <si>
    <t>REG ASSET DRESDEN UNRECOG EQUITY CC WV</t>
  </si>
  <si>
    <t>REG ASSET DRESDEN OPERATION COST VA</t>
  </si>
  <si>
    <t>REG ASSET DRESDEN CARRYING COSTS VA</t>
  </si>
  <si>
    <t>REG ASSET DRESDEN UNRECOG EQUITY CC VA</t>
  </si>
  <si>
    <t>REG ASSET DRESDEN CARRYING COST WV</t>
  </si>
  <si>
    <t>REG ASSET DRESDEN OPERATING COSTS WV</t>
  </si>
  <si>
    <t>REG ASSET-WW CC-CONSTR SURCHARG UNRECOG EQ</t>
  </si>
  <si>
    <t>REG ASSET-WW CONSTR SURCHRG OPER COSTS</t>
  </si>
  <si>
    <t>REG ASSET-WW CC CONSTR SURCHRG</t>
  </si>
  <si>
    <r>
      <t>Source</t>
    </r>
    <r>
      <rPr>
        <u/>
        <vertAlign val="superscript"/>
        <sz val="12"/>
        <rFont val="Arial"/>
        <family val="2"/>
      </rPr>
      <t xml:space="preserve"> 1</t>
    </r>
  </si>
  <si>
    <t>1650031/1650033</t>
  </si>
  <si>
    <t>Work Comp</t>
  </si>
  <si>
    <t>P.263.1 ln 28 (i)</t>
  </si>
  <si>
    <t>P.263 ln 20 (i)</t>
  </si>
  <si>
    <t>P.263 ln 25 (i)</t>
  </si>
  <si>
    <t>P.263.2 ln 10 (i)</t>
  </si>
  <si>
    <t>APCo 101/6 353 GSU</t>
  </si>
  <si>
    <t>APCo 101/6 352 GSU</t>
  </si>
  <si>
    <t>APCo 101/6 353 Dresden Plant</t>
  </si>
  <si>
    <t>APCo 101/6 353 Dresden VA AFUDC</t>
  </si>
  <si>
    <t>John E Amos Generating Plant</t>
  </si>
  <si>
    <t>John E. Amos Generating Plant Common Facilities for Units 1, 2 &amp; 3 : APCo : 7801</t>
  </si>
  <si>
    <t>Smith Mt Pumped Storage Hydro Plant</t>
  </si>
  <si>
    <t>Smith Mountain Pumped Storage Hydro Plant : APCo : 0550</t>
  </si>
  <si>
    <t>major_location</t>
  </si>
  <si>
    <t>depr_group</t>
  </si>
  <si>
    <t>Use Tax</t>
  </si>
  <si>
    <t>Prepiad OCIP WC</t>
  </si>
  <si>
    <t>PPD OCIP WC</t>
  </si>
  <si>
    <t>1650034 - Prepaid OCIP Work Comp LT</t>
  </si>
  <si>
    <t>PJM FERC Filing</t>
  </si>
  <si>
    <t>Debentures</t>
  </si>
  <si>
    <t>Other LTD</t>
  </si>
  <si>
    <t>COLUMN G</t>
  </si>
  <si>
    <t>COLUMN H</t>
  </si>
  <si>
    <t>COLUMN I</t>
  </si>
  <si>
    <t>FUNCTIONALIZATION AVERAGE</t>
  </si>
  <si>
    <t>CAPD INTEREST - SECTION 481(a) - CHANGE IN METHD</t>
  </si>
  <si>
    <t>RELOCATION COST - SECTION 481(a) - CHANGE IN METH</t>
  </si>
  <si>
    <t>PJM INTEGRATION - SEC 481(a) - INTANG - DFD LABOR</t>
  </si>
  <si>
    <t>BK PLANT IN SERVICE-SFAS 143-ARO</t>
  </si>
  <si>
    <t>GAIN/LOSS ON ACRS/MACRS-BK/TX UNIT PROP</t>
  </si>
  <si>
    <t>TAXES CAPITALIZED</t>
  </si>
  <si>
    <t>PENSIONS CAPITALIZED</t>
  </si>
  <si>
    <t>SAVINGS PLAN CAPITALIZED</t>
  </si>
  <si>
    <t>MARK &amp; SPREAD - DEFL - 283 A/L</t>
  </si>
  <si>
    <t>REG ASSET - DEFERRED RTO COSTS</t>
  </si>
  <si>
    <t>DEFD ENVIRON COMP COSTS &amp; CARRYING CHARGES</t>
  </si>
  <si>
    <t>DEFD EXPS (A/C 186)</t>
  </si>
  <si>
    <t>RATE CASE DEFERRED CHARGES</t>
  </si>
  <si>
    <t>BK DEFL-DEMAND SIDE MNGMT EXP</t>
  </si>
  <si>
    <t>BOOK &gt; TAX - EMA - A/C 283</t>
  </si>
  <si>
    <t>DEFD TX GAIN - INTERCO SALE - EMA</t>
  </si>
  <si>
    <t>REG ASSET-SFAS 143 - ARO</t>
  </si>
  <si>
    <t>REG ASSET-SFAS 158 - PENSIONS</t>
  </si>
  <si>
    <t>REG ASSET-SFAS 158 - SERP</t>
  </si>
  <si>
    <t>REG ASSET-SFAS 158 - OPEB</t>
  </si>
  <si>
    <t>REG ASSET-UNDERRECOVERY-VIRGINIA T-RAC</t>
  </si>
  <si>
    <t>REG ASSET-MOUNTAINEER CARBON CAPTURE</t>
  </si>
  <si>
    <t>REG ASSET-DEFERRED RPS COSTS</t>
  </si>
  <si>
    <t>REG ASSET-CARRYING CHARGES-WV ENEC</t>
  </si>
  <si>
    <t>REG ASSET-WV VMP (VEGETATION MGMT) COSTS</t>
  </si>
  <si>
    <t>REG ASSET-CARRYING CHARGES-WV VMP</t>
  </si>
  <si>
    <t>REG ASSET-UNREC EQUITY CC WV-AMOS 3</t>
  </si>
  <si>
    <t>REG ASSET-CARRYING CHARGES WV-AMOS 3</t>
  </si>
  <si>
    <t>REG ASSET-IGCC PRE-CONSTRUCTION COSTS</t>
  </si>
  <si>
    <t>CAPITALIZED SOFTWARE COST - BOOK</t>
  </si>
  <si>
    <t>SFAS 106-MEDICARE SUBSIDY-(PPACA)-REG ASSET</t>
  </si>
  <si>
    <t>ACCUMULATED DEFERRED INCOME TAX IN ACCOUNT 190</t>
  </si>
  <si>
    <t>ACCOUNT 190:</t>
  </si>
  <si>
    <t>NOL &amp; TAX CREDIT C/F - DEF TAX ASSET</t>
  </si>
  <si>
    <t>INT EXP CAPITALIZED FOR TAX</t>
  </si>
  <si>
    <t xml:space="preserve">CIAC-BOOK RECEIPTS </t>
  </si>
  <si>
    <t>CIAC - MUSSER ACQUISITION</t>
  </si>
  <si>
    <t>SW - OVER RECOVERY FUEL COSTS</t>
  </si>
  <si>
    <t>SV - OVER RECOVERY FUEL COSTS</t>
  </si>
  <si>
    <t>PROVS POSS REV REFDS</t>
  </si>
  <si>
    <t>MTM BK LOSS - A/L - TAX DEFL</t>
  </si>
  <si>
    <t>MARK &amp; SPREAD-DEFL-190-A/L</t>
  </si>
  <si>
    <t>ACCRD BK SUP. SAVINGS PLAN EXP</t>
  </si>
  <si>
    <t>EMPLOYER SAVINGS PLAN MATCH</t>
  </si>
  <si>
    <t>ACCRUED PSI PLAN EXP</t>
  </si>
  <si>
    <t>BK PROV UNCOLL ACCTS</t>
  </si>
  <si>
    <t>ACCRD COMPANY INCENT PLAN-ENGAGE TO GAIN</t>
  </si>
  <si>
    <t>ACCRD COMPANYWIDE INCENTV PLAN</t>
  </si>
  <si>
    <t>ACCRUED BOOK VACATION PAY</t>
  </si>
  <si>
    <t>(ICDP)-INCENTIVE COMP DEFERRAL PLAN</t>
  </si>
  <si>
    <t>ACCRUED BK SEVERANCE BENEFITS</t>
  </si>
  <si>
    <t>ACCRUED INTEREST EXPENSE - STATE</t>
  </si>
  <si>
    <t>ACCRUED INTEREST-LONG-TERM - FIN 48</t>
  </si>
  <si>
    <t>ACCRUED INTEREST-SHORT-TERM - FIN 48</t>
  </si>
  <si>
    <t>BK DFL RAIL TRANS REV/EXP</t>
  </si>
  <si>
    <t>ACCRUED RTO CARRYING CHARGES</t>
  </si>
  <si>
    <t>DEFD EQUITY CARRYING CHRGS-ENVIRON COMP COSTS</t>
  </si>
  <si>
    <t>FEDERAL MITIGATION PROGRAMS</t>
  </si>
  <si>
    <t xml:space="preserve">STATE MITIGATION PROGRAMS </t>
  </si>
  <si>
    <t>DEFD REV-EPRI/MNTR CARBON CAPTURE-CUR</t>
  </si>
  <si>
    <t>DEFD REV-EPRI/MNTR CARBON CAPTURE-L/T</t>
  </si>
  <si>
    <t>DEFD BK CONTRACT REVENUE</t>
  </si>
  <si>
    <t>DEFD STORM DAMAGES</t>
  </si>
  <si>
    <t>DEFD TX LOSS-INTERCO SALE-EMA</t>
  </si>
  <si>
    <t>ADVANCE RENTAL INC (CUR MO)</t>
  </si>
  <si>
    <t>DEFERRED BOOK RENTS</t>
  </si>
  <si>
    <t>ACCRD SFAS 106 PST RETIRE EXP</t>
  </si>
  <si>
    <t>SFAS 106 PST RETIRE EXP - NON-DEDUCT CONT</t>
  </si>
  <si>
    <t>ACCRD OPEB COSTS - SFAS 158</t>
  </si>
  <si>
    <t>ACCRUED BK REMOVAL COST - ACRS</t>
  </si>
  <si>
    <t>FIN 48 - DEFD STATE INCOME TAXES</t>
  </si>
  <si>
    <t>ACCRD SIT/FRANCHISE TAX RESERVE</t>
  </si>
  <si>
    <t>ACCRUED SALES &amp; USE TAX RESERVE</t>
  </si>
  <si>
    <t>SFAS 109 - DEFD SIT LIABILITY</t>
  </si>
  <si>
    <t>1985-1987 IRS AUDIT SETTLEMENT</t>
  </si>
  <si>
    <t>1991-1996 IRS AUDIT SETTLEMENT</t>
  </si>
  <si>
    <t>1997-2003 IRS AUDIT SETTLEMENT</t>
  </si>
  <si>
    <t>2007 IRS AUDIT ADJUSTMENTS - A/C 190</t>
  </si>
  <si>
    <t>IRS CAPITALIZATION ADJUSTMENT</t>
  </si>
  <si>
    <t>SFAS 109 FLOW-THRU 190.3</t>
  </si>
  <si>
    <t>SFAS 109 EXCESS DFIT 190.4</t>
  </si>
  <si>
    <t>SFAS 133 ADIT FED - SFAS NONAFFIL 1900006</t>
  </si>
  <si>
    <t>ADIT FED - PENSION OCI NAF 1900009</t>
  </si>
  <si>
    <t>ADIT FED - PENSION OCI  1900010</t>
  </si>
  <si>
    <t>ADIT FED - NON-UMWA PRW OCI 1900011</t>
  </si>
  <si>
    <t>ADIT FED - UMWA PRW OCI 1900012</t>
  </si>
  <si>
    <t>ADIT FED - HEDGE-INTEREST RATE 1900015</t>
  </si>
  <si>
    <t>ADIT FED - HEDGE-FOREIGN EXC 1900016</t>
  </si>
  <si>
    <t>NON-UTILITY DEFERRED SIT  1902002</t>
  </si>
  <si>
    <t>DEFERRED SIT  1901002</t>
  </si>
  <si>
    <t>TOTAL ACCOUNT 190</t>
  </si>
  <si>
    <t>Workpaper 8ai</t>
  </si>
  <si>
    <t>Work Com-Aff</t>
  </si>
  <si>
    <t>1650031 - Prepaid Workers Comp</t>
  </si>
  <si>
    <t>P.263.1 ln 29 (i)</t>
  </si>
  <si>
    <t>P.263.3 ln 8  (i)</t>
  </si>
  <si>
    <t>P.263.1 ln 32  (i)</t>
  </si>
  <si>
    <t>P.263.1 ln 8 (i)</t>
  </si>
  <si>
    <t>P.263.1 ln 26 (i)</t>
  </si>
  <si>
    <t>P.263 ln 13 (i)</t>
  </si>
  <si>
    <t>Ceredo Generating Plant</t>
  </si>
  <si>
    <t>Ceredo Generating Plant : APCo : CERGP</t>
  </si>
  <si>
    <t>Mountaineer Generating Plant</t>
  </si>
  <si>
    <t>Mountaineer Generating Plant : APCo : 0710</t>
  </si>
  <si>
    <t>1650032 - Record workers compensation for contractors</t>
  </si>
  <si>
    <t>1650033 - Record workers compensation current charges</t>
  </si>
  <si>
    <t>P.263.3 ln 4 (i)</t>
  </si>
  <si>
    <t>West Virginia Terms &amp; Conditions Filing</t>
  </si>
  <si>
    <t>West Virginia IRP Filing</t>
  </si>
  <si>
    <t>Virginia Fuel Filing</t>
  </si>
  <si>
    <t>351.1, Ln. 10, Col(h)</t>
  </si>
  <si>
    <t>*Per Company Books and Records interest associated with LTD.</t>
  </si>
  <si>
    <t>FUNCTIONALIZATION 12/31/15</t>
  </si>
  <si>
    <t>OF 12-31-15</t>
  </si>
  <si>
    <t>REG ASSET-FELMAN PREM/DISC-ENEC-WV</t>
  </si>
  <si>
    <t>REG ASSET-WV AIR QUALITY PERMIT FEES</t>
  </si>
  <si>
    <t>REG ASSET-NBV-ARO-RETIRED PLANTS</t>
  </si>
  <si>
    <t>REG ASSET-EXTRA LOSS-CLINCH RIVER PLANT</t>
  </si>
  <si>
    <t>REG ASSET-EXTRA LOSS-GLEN LYN U5 NET PLANT</t>
  </si>
  <si>
    <t>REG ASSET-EXTRA LOSS-SPORN PLANT</t>
  </si>
  <si>
    <t>REG ASSET-EXTRA LOSS-KANAWHA RIVER PLANT</t>
  </si>
  <si>
    <t>REG ASSET-EXTRA LOSS-GLEN LYN U6 NET PLANT</t>
  </si>
  <si>
    <t>REG ASSET-COAL CO UNCOLL ACCTS</t>
  </si>
  <si>
    <t>REG ASSET-CAR CHGS-WV VMP RESERVE</t>
  </si>
  <si>
    <t>REG ASSET-VA EE-RAC EFFICIENT PRODUCTS</t>
  </si>
  <si>
    <t>REG ASSET-VA EE-RAC HOME ENERGY PROG</t>
  </si>
  <si>
    <t>REG ASSET-VA EE-RAC APPLIANCE RECYCLING</t>
  </si>
  <si>
    <t xml:space="preserve">REG ASSET-VA EE-RAC C&amp;I PRESCRIPTIVE </t>
  </si>
  <si>
    <t xml:space="preserve">REG ASSET-VA EE-RAC MOBILE HOME ES </t>
  </si>
  <si>
    <t>REG ASSET-VA EE-RAC EQUITY MARGIN</t>
  </si>
  <si>
    <t>CIAC - BOOK RECEIPTS-DISTR -SV</t>
  </si>
  <si>
    <t>CIAC - BOOK RECEIPTS-TRANS</t>
  </si>
  <si>
    <t>CIAC - BOOK RECEIPTS-DISTR -SW</t>
  </si>
  <si>
    <t>SALE/LEASEBK-GRUNDY</t>
  </si>
  <si>
    <t>PROV WORKER'S COMP</t>
  </si>
  <si>
    <t>SUPPLEMENTAL EXECUTIVE RETIREMENT PLAN</t>
  </si>
  <si>
    <t>ACCRD SUP EXEC RETIR PLAN COSTS-SFAS 158</t>
  </si>
  <si>
    <t>PROV-TRADING CREDIT RISK - A/L</t>
  </si>
  <si>
    <t>PROV-FAS 157 - A/L</t>
  </si>
  <si>
    <t>ACCRD ENVIRONMENTAL LIAB-CURRENT</t>
  </si>
  <si>
    <t>ACCRUED STATE INCOME TAX EXP</t>
  </si>
  <si>
    <t>PROV LOSS-CAR CHG-PURCHASD EMA</t>
  </si>
  <si>
    <t>FK BK WRITE-OFF BLUE RDGE EASE</t>
  </si>
  <si>
    <t>FR BK WRITE-OFF BLUE RDGE EASE</t>
  </si>
  <si>
    <t>SV BK WRITE-OFF BLUE RDGE EASE</t>
  </si>
  <si>
    <t>CV BK WRITE-OFF BLUE RDGE EASE</t>
  </si>
  <si>
    <t>TAX &gt; BOOK BASIS - EMA-A/C 190</t>
  </si>
  <si>
    <t>DEFD BOOK GAIN-EPA AUCTION</t>
  </si>
  <si>
    <t>REG LIAB-UNREAL MTM GAIN-DEFL</t>
  </si>
  <si>
    <t>SECURITIZATION DEFD EQUITY INCOME - LONG-TERM</t>
  </si>
  <si>
    <t>CAPITALIZED SOFTWARE COSTS-TAX</t>
  </si>
  <si>
    <t>CAPITALIZED ADVERTISING EXP-TX</t>
  </si>
  <si>
    <t>ACCRD SFAS 112 PST EMPLOY BEN</t>
  </si>
  <si>
    <t>ACCRD BOOK ARO EXPENSE - SFAS 143</t>
  </si>
  <si>
    <t>ACCRD BK ARO EXP - MTNR CARBON CAPTURE</t>
  </si>
  <si>
    <t>SFAS 106 - MEDICARE SUBSIDY - NORM - (PPACA)</t>
  </si>
  <si>
    <t>GROSS RECEIPTS- TAX EXPENSE</t>
  </si>
  <si>
    <t>ACCRD SIT TX RESERVE-LNG-TERM-FIN 48</t>
  </si>
  <si>
    <t>ACCRD SIT TX RESERVE-SHRT-TERM-FIN 48</t>
  </si>
  <si>
    <t>AMT CREDIT - DEFERRED</t>
  </si>
  <si>
    <t>REHAB CREDIT - DEFD TAX ASSET RECLASS</t>
  </si>
  <si>
    <t>Page 1 of 3</t>
  </si>
  <si>
    <t>Reserve Account</t>
  </si>
  <si>
    <t>Total Reserve</t>
  </si>
  <si>
    <t>FF1 (22+30)</t>
  </si>
  <si>
    <t xml:space="preserve">TOTAL </t>
  </si>
  <si>
    <t>Ln 6 - Ln2</t>
  </si>
  <si>
    <t>APCo Exc ARO</t>
  </si>
  <si>
    <t xml:space="preserve">Ln6 - Ln4 </t>
  </si>
  <si>
    <t>FF1 pg 219.29</t>
  </si>
  <si>
    <t>Ln4 FF1pg 200.21</t>
  </si>
  <si>
    <t>Ln8 + Ln9 Total check FF1 pg 200.22+30</t>
  </si>
  <si>
    <t>August</t>
  </si>
  <si>
    <t>For the Year Ended December 31, 2016</t>
  </si>
  <si>
    <t>For the Year Ending December 31, 2016</t>
  </si>
  <si>
    <t>Balances as of December 31, 2016</t>
  </si>
  <si>
    <t>M&amp;S December 2016</t>
  </si>
  <si>
    <t>165000216/165000217</t>
  </si>
  <si>
    <t>165000216 - This account shall include amounts representing prepayments of taxes.</t>
  </si>
  <si>
    <t xml:space="preserve">165001216 - Prepaid Use Taxes </t>
  </si>
  <si>
    <t>12 Months December 31, 2016 Plant In Service (excluding ARO)</t>
  </si>
  <si>
    <t>Development of Composite State Income Tax Rates for 2016 (Note 1)</t>
  </si>
  <si>
    <t>351.1, Ln. 2, Col(h)</t>
  </si>
  <si>
    <t>351.1, Ln. 4, Col(h)</t>
  </si>
  <si>
    <t>351.1, Ln. 6, Col(h)</t>
  </si>
  <si>
    <t>351.1, Ln. 8, Col(h)</t>
  </si>
  <si>
    <t>Wind &amp; Solar RFP</t>
  </si>
  <si>
    <t>351.1, Ln. 16, Col(h)</t>
  </si>
  <si>
    <t>351.1, Ln. 18, Col(h)</t>
  </si>
  <si>
    <t>351.1, Ln. 22, Col(h)</t>
  </si>
  <si>
    <t>351.1, Ln. 24, Col(h)</t>
  </si>
  <si>
    <t>351.1, Ln. 26, Col(h)</t>
  </si>
  <si>
    <t>351.1, Ln. 28, Col(h)</t>
  </si>
  <si>
    <t>FERC 205 Filing</t>
  </si>
  <si>
    <t>FERC 206 Filing</t>
  </si>
  <si>
    <t/>
  </si>
  <si>
    <t>Virginia Demand Response RAC</t>
  </si>
  <si>
    <t>Virginia T-RAC</t>
  </si>
  <si>
    <t>Virginia Solar</t>
  </si>
  <si>
    <t>VA Gen Rate Adj</t>
  </si>
  <si>
    <t>VA Rate Freeze Law Challenge</t>
  </si>
  <si>
    <t>VA Renenwable Tariff</t>
  </si>
  <si>
    <t>VA Return on Equity Filing</t>
  </si>
  <si>
    <t>VA Rule Show Cause</t>
  </si>
  <si>
    <t>VA Wind related Gen RAC</t>
  </si>
  <si>
    <t>WV Veg Mgt. Surcharge</t>
  </si>
  <si>
    <t xml:space="preserve">PurC </t>
  </si>
  <si>
    <t>12/2016</t>
  </si>
  <si>
    <t>Balance as of December 2016</t>
  </si>
  <si>
    <t>FUNCTIONALIZATION 12/31/16</t>
  </si>
  <si>
    <t>OF 12-31-16</t>
  </si>
  <si>
    <t>NORMALIZED BASIS DIFFS - TRANSFERRED PLANTS</t>
  </si>
  <si>
    <t>BOOK/TAX UNIT OF PROPERTY ADJ: AGR TRANSFER</t>
  </si>
  <si>
    <t>BK/TX UNIT OF PROPERTY ADJ-SEC 481 ADJ: AGR TRANSFER</t>
  </si>
  <si>
    <t>REG ASSET-M&amp;S RETIRING PLANTS</t>
  </si>
  <si>
    <t>REG ASSET-DEFD DEPREC-WV VEG MGT PROG</t>
  </si>
  <si>
    <t>REG ASSET-CAR CHGS-WV VMP-UNREC EQ</t>
  </si>
  <si>
    <t>REG ASSET-WV BASE REVENUES</t>
  </si>
  <si>
    <t>REG ASSET-WV BASE REVENUES-CAR CHGS</t>
  </si>
  <si>
    <t>REG ASSET-WV EE/DR-COMPANY FUNDED</t>
  </si>
  <si>
    <t>REG ASSET-WV PROV SURCREDIT-SPEC CTRCT</t>
  </si>
  <si>
    <t>REG ASSET-WV PROV SURCREDIT-CONTRA</t>
  </si>
  <si>
    <t>REG ASSET-BASE REV EQUITY CAR CHG-WV</t>
  </si>
  <si>
    <t>PERIOD ENDED DECEMBER 31, 2016</t>
  </si>
  <si>
    <t>DEBIT  (CREDIT)</t>
  </si>
  <si>
    <t>Checks to FERC Form 1</t>
  </si>
  <si>
    <t>P.263.1 ln 3 (i)</t>
  </si>
  <si>
    <t>P.263.1 ln 27 (i)</t>
  </si>
  <si>
    <t>P.263 ln 33  (i)</t>
  </si>
  <si>
    <t>P.263 ln 37  (i)</t>
  </si>
  <si>
    <t>P.263 ln 38  (i)</t>
  </si>
  <si>
    <t>P.263.2 ln 21  (i)</t>
  </si>
  <si>
    <t>P.263.2 ln 24  (i)</t>
  </si>
  <si>
    <t>P.263.2 ln 25 (i)</t>
  </si>
  <si>
    <t>P.263.3 ln 9  (i)</t>
  </si>
  <si>
    <t>P.263.1 ln 31  (i)</t>
  </si>
  <si>
    <t>P.263.1 ln 15  (i)</t>
  </si>
  <si>
    <t>P.263.1 ln 37  (i)</t>
  </si>
  <si>
    <t>P.263.2 ln 31  (i)</t>
  </si>
  <si>
    <t>P.263.3 ln 20  (i)</t>
  </si>
  <si>
    <t>P.263.4 ln 21  (i)</t>
  </si>
  <si>
    <t>P.263.1 ln 18 (i)</t>
  </si>
  <si>
    <t>P.263.2 ln 11 (i)</t>
  </si>
  <si>
    <t>P.263.3 ln 5 (i)</t>
  </si>
  <si>
    <t>P.263.1 ln 5 (i)</t>
  </si>
  <si>
    <t>P.263.2 ln 33 (i)</t>
  </si>
  <si>
    <t>P.263.3 ln 36 (i)</t>
  </si>
  <si>
    <t>P.263.3 ln 37 (i)</t>
  </si>
  <si>
    <t>P.263.3 ln 12 (i)</t>
  </si>
  <si>
    <t>P.263.3 ln 27 (i)</t>
  </si>
  <si>
    <t>P.263.4 ln 15 (i)</t>
  </si>
  <si>
    <t>P.263.3 ln 22 (i)</t>
  </si>
  <si>
    <t>P.263 ln 30 (i)</t>
  </si>
  <si>
    <t>351.1, Ln. 12, Col(h)</t>
  </si>
  <si>
    <t>351.1, Ln. 14, Col(h)</t>
  </si>
  <si>
    <t>351.1, Ln. 20, Col(h)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</si>
</sst>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_);\(#,##0.00000\)"/>
    <numFmt numFmtId="165" formatCode="0.000%"/>
    <numFmt numFmtId="166" formatCode="_(* #,##0_);_(* \(#,##0\);_(* &quot;-&quot;??_);_(@_)"/>
    <numFmt numFmtId="167" formatCode="General_)"/>
    <numFmt numFmtId="168" formatCode="0.00000%"/>
    <numFmt numFmtId="169" formatCode="mmm\-yy_)"/>
    <numFmt numFmtId="170" formatCode="#,##0.0000000000_);\(#,##0.0000000000\)"/>
    <numFmt numFmtId="171" formatCode="0_);\(0\)"/>
    <numFmt numFmtId="172" formatCode="#,##0.0_);\(#,##0.0\)"/>
    <numFmt numFmtId="173" formatCode="0_);[Red]\(0\)"/>
    <numFmt numFmtId="174" formatCode="m/d/yy;@"/>
    <numFmt numFmtId="175" formatCode="0.0"/>
    <numFmt numFmtId="176" formatCode="[$-409]mmm\-yy;@"/>
    <numFmt numFmtId="177" formatCode="&quot;$&quot;#,##0.00"/>
    <numFmt numFmtId="178" formatCode="_(* #,##0.0000_);_(* \(#,##0.0000\);_(* &quot;-&quot;_);_(@_)"/>
    <numFmt numFmtId="179" formatCode="0.0000%"/>
    <numFmt numFmtId="180" formatCode="_(* #,##0.0_);_(* \(#,##0.0\);_(* &quot;-&quot;??_);_(@_)"/>
    <numFmt numFmtId="181" formatCode="0;[Red]0"/>
    <numFmt numFmtId="182" formatCode="#,##0\ ;\(#,##0\)"/>
  </numFmts>
  <fonts count="6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8"/>
      <color indexed="12"/>
      <name val="Tahoma"/>
      <family val="2"/>
    </font>
    <font>
      <sz val="10"/>
      <color indexed="6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2"/>
      <name val="Arial MT"/>
    </font>
    <font>
      <u/>
      <vertAlign val="superscript"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name val="Helv"/>
    </font>
    <font>
      <sz val="10"/>
      <name val="Times New Roman"/>
      <family val="1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14"/>
      <name val="Helv"/>
    </font>
    <font>
      <sz val="14"/>
      <name val="Helv"/>
    </font>
    <font>
      <sz val="14"/>
      <color indexed="12"/>
      <name val="Helv"/>
    </font>
    <font>
      <strike/>
      <sz val="14"/>
      <color indexed="10"/>
      <name val="Helv"/>
    </font>
    <font>
      <b/>
      <sz val="14"/>
      <name val="Helv"/>
    </font>
    <font>
      <u/>
      <sz val="14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i/>
      <vertAlign val="superscript"/>
      <sz val="12"/>
      <name val="Arial"/>
      <family val="2"/>
    </font>
    <font>
      <u/>
      <vertAlign val="superscript"/>
      <sz val="6"/>
      <name val="Arial"/>
      <family val="2"/>
    </font>
    <font>
      <sz val="14"/>
      <color indexed="12"/>
      <name val="Arial"/>
      <family val="2"/>
    </font>
    <font>
      <vertAlign val="superscript"/>
      <sz val="6"/>
      <name val="Arial"/>
      <family val="2"/>
    </font>
    <font>
      <sz val="10"/>
      <color rgb="FFFF0000"/>
      <name val="Arial"/>
      <family val="2"/>
    </font>
    <font>
      <sz val="12"/>
      <color rgb="FF0070C0"/>
      <name val="Arial"/>
      <family val="2"/>
    </font>
    <font>
      <u/>
      <sz val="12"/>
      <name val="Arial"/>
      <family val="2"/>
    </font>
    <font>
      <u/>
      <vertAlign val="superscript"/>
      <sz val="12"/>
      <name val="Arial"/>
      <family val="2"/>
    </font>
    <font>
      <sz val="10"/>
      <color rgb="FF0066FF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 Narrow"/>
      <family val="2"/>
    </font>
    <font>
      <sz val="10"/>
      <color theme="1"/>
      <name val="Arial Narrow"/>
      <family val="2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12"/>
      <name val="Calibri"/>
      <family val="2"/>
      <scheme val="minor"/>
    </font>
    <font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37" fontId="3" fillId="0" borderId="0"/>
    <xf numFmtId="167" fontId="3" fillId="0" borderId="0"/>
    <xf numFmtId="0" fontId="1" fillId="0" borderId="0"/>
    <xf numFmtId="37" fontId="3" fillId="0" borderId="0"/>
    <xf numFmtId="0" fontId="1" fillId="0" borderId="0"/>
    <xf numFmtId="167" fontId="3" fillId="0" borderId="0"/>
    <xf numFmtId="37" fontId="3" fillId="0" borderId="0"/>
    <xf numFmtId="177" fontId="17" fillId="0" borderId="0" applyProtection="0"/>
    <xf numFmtId="0" fontId="24" fillId="0" borderId="0"/>
    <xf numFmtId="0" fontId="1" fillId="0" borderId="0"/>
    <xf numFmtId="0" fontId="1" fillId="0" borderId="0"/>
    <xf numFmtId="167" fontId="3" fillId="0" borderId="0"/>
    <xf numFmtId="167" fontId="3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3" fontId="1" fillId="0" borderId="0"/>
    <xf numFmtId="43" fontId="1" fillId="0" borderId="0" applyFont="0" applyFill="0" applyBorder="0" applyAlignment="0" applyProtection="0"/>
  </cellStyleXfs>
  <cellXfs count="772">
    <xf numFmtId="0" fontId="0" fillId="0" borderId="0" xfId="0"/>
    <xf numFmtId="0" fontId="0" fillId="0" borderId="0" xfId="0" applyFill="1"/>
    <xf numFmtId="37" fontId="0" fillId="0" borderId="0" xfId="0" applyNumberFormat="1" applyFill="1" applyBorder="1"/>
    <xf numFmtId="37" fontId="6" fillId="0" borderId="0" xfId="0" applyNumberFormat="1" applyFont="1" applyFill="1"/>
    <xf numFmtId="37" fontId="0" fillId="0" borderId="1" xfId="0" applyNumberFormat="1" applyFill="1" applyBorder="1"/>
    <xf numFmtId="37" fontId="6" fillId="0" borderId="1" xfId="0" applyNumberFormat="1" applyFont="1" applyFill="1" applyBorder="1"/>
    <xf numFmtId="37" fontId="0" fillId="0" borderId="0" xfId="0" applyNumberFormat="1" applyFill="1"/>
    <xf numFmtId="0" fontId="4" fillId="0" borderId="0" xfId="0" applyFont="1" applyFill="1"/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>
      <alignment horizontal="center"/>
    </xf>
    <xf numFmtId="37" fontId="4" fillId="0" borderId="0" xfId="0" applyNumberFormat="1" applyFont="1" applyFill="1" applyProtection="1"/>
    <xf numFmtId="37" fontId="5" fillId="0" borderId="0" xfId="0" applyNumberFormat="1" applyFont="1" applyFill="1"/>
    <xf numFmtId="37" fontId="5" fillId="0" borderId="0" xfId="0" applyNumberFormat="1" applyFont="1" applyFill="1" applyProtection="1">
      <protection locked="0"/>
    </xf>
    <xf numFmtId="37" fontId="4" fillId="0" borderId="0" xfId="0" applyNumberFormat="1" applyFont="1" applyFill="1"/>
    <xf numFmtId="37" fontId="4" fillId="0" borderId="0" xfId="0" applyNumberFormat="1" applyFont="1" applyFill="1" applyProtection="1">
      <protection locked="0"/>
    </xf>
    <xf numFmtId="37" fontId="5" fillId="0" borderId="0" xfId="0" applyNumberFormat="1" applyFont="1" applyFill="1" applyBorder="1"/>
    <xf numFmtId="37" fontId="4" fillId="0" borderId="0" xfId="0" applyNumberFormat="1" applyFont="1" applyFill="1" applyBorder="1"/>
    <xf numFmtId="37" fontId="5" fillId="0" borderId="0" xfId="0" applyNumberFormat="1" applyFont="1" applyFill="1" applyBorder="1" applyProtection="1">
      <protection locked="0"/>
    </xf>
    <xf numFmtId="0" fontId="7" fillId="0" borderId="0" xfId="0" applyFont="1" applyFill="1" applyAlignment="1">
      <alignment horizontal="center"/>
    </xf>
    <xf numFmtId="0" fontId="4" fillId="0" borderId="0" xfId="0" applyNumberFormat="1" applyFont="1" applyFill="1" applyAlignment="1" applyProtection="1">
      <alignment horizontal="left"/>
      <protection locked="0"/>
    </xf>
    <xf numFmtId="37" fontId="4" fillId="0" borderId="0" xfId="0" applyNumberFormat="1" applyFont="1" applyFill="1" applyBorder="1" applyProtection="1">
      <protection locked="0"/>
    </xf>
    <xf numFmtId="0" fontId="4" fillId="0" borderId="0" xfId="0" applyFont="1" applyFill="1" applyBorder="1"/>
    <xf numFmtId="37" fontId="4" fillId="0" borderId="1" xfId="0" applyNumberFormat="1" applyFont="1" applyFill="1" applyBorder="1"/>
    <xf numFmtId="37" fontId="4" fillId="0" borderId="0" xfId="5" applyFont="1" applyFill="1" applyBorder="1"/>
    <xf numFmtId="37" fontId="4" fillId="0" borderId="0" xfId="5" applyFont="1" applyFill="1"/>
    <xf numFmtId="37" fontId="5" fillId="0" borderId="0" xfId="5" applyFont="1" applyFill="1" applyBorder="1"/>
    <xf numFmtId="37" fontId="10" fillId="0" borderId="0" xfId="5" applyFont="1" applyFill="1"/>
    <xf numFmtId="37" fontId="4" fillId="0" borderId="0" xfId="0" applyNumberFormat="1" applyFont="1" applyFill="1" applyAlignment="1">
      <alignment horizontal="center"/>
    </xf>
    <xf numFmtId="17" fontId="4" fillId="0" borderId="0" xfId="6" quotePrefix="1" applyNumberFormat="1" applyFont="1" applyFill="1" applyAlignment="1" applyProtection="1">
      <alignment horizontal="left"/>
    </xf>
    <xf numFmtId="41" fontId="1" fillId="0" borderId="0" xfId="14" applyNumberFormat="1" applyFill="1"/>
    <xf numFmtId="0" fontId="1" fillId="0" borderId="0" xfId="14" applyFill="1"/>
    <xf numFmtId="37" fontId="4" fillId="0" borderId="0" xfId="1" applyNumberFormat="1" applyFont="1" applyFill="1"/>
    <xf numFmtId="38" fontId="4" fillId="0" borderId="0" xfId="1" applyNumberFormat="1" applyFont="1" applyFill="1"/>
    <xf numFmtId="38" fontId="1" fillId="0" borderId="0" xfId="0" applyNumberFormat="1" applyFont="1" applyFill="1" applyAlignment="1">
      <alignment horizontal="left"/>
    </xf>
    <xf numFmtId="37" fontId="5" fillId="0" borderId="0" xfId="5" applyFont="1" applyFill="1"/>
    <xf numFmtId="39" fontId="4" fillId="0" borderId="0" xfId="0" applyNumberFormat="1" applyFont="1" applyFill="1"/>
    <xf numFmtId="176" fontId="4" fillId="0" borderId="0" xfId="0" applyNumberFormat="1" applyFont="1" applyFill="1"/>
    <xf numFmtId="166" fontId="4" fillId="0" borderId="0" xfId="1" applyNumberFormat="1" applyFont="1" applyFill="1"/>
    <xf numFmtId="166" fontId="5" fillId="0" borderId="0" xfId="1" applyNumberFormat="1" applyFont="1" applyFill="1"/>
    <xf numFmtId="166" fontId="4" fillId="0" borderId="0" xfId="0" applyNumberFormat="1" applyFont="1" applyFill="1"/>
    <xf numFmtId="0" fontId="4" fillId="0" borderId="0" xfId="0" applyNumberFormat="1" applyFont="1" applyFill="1" applyAlignment="1">
      <alignment horizontal="center"/>
    </xf>
    <xf numFmtId="37" fontId="5" fillId="0" borderId="0" xfId="0" applyNumberFormat="1" applyFont="1" applyFill="1" applyProtection="1"/>
    <xf numFmtId="37" fontId="5" fillId="0" borderId="0" xfId="0" applyNumberFormat="1" applyFont="1" applyFill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center"/>
    </xf>
    <xf numFmtId="167" fontId="4" fillId="0" borderId="0" xfId="6" applyFont="1" applyFill="1"/>
    <xf numFmtId="167" fontId="4" fillId="0" borderId="2" xfId="6" applyFont="1" applyFill="1" applyBorder="1" applyAlignment="1" applyProtection="1">
      <alignment horizontal="center"/>
    </xf>
    <xf numFmtId="37" fontId="5" fillId="0" borderId="3" xfId="6" applyNumberFormat="1" applyFont="1" applyFill="1" applyBorder="1" applyProtection="1">
      <protection locked="0"/>
    </xf>
    <xf numFmtId="37" fontId="4" fillId="0" borderId="0" xfId="6" applyNumberFormat="1" applyFont="1" applyFill="1" applyProtection="1"/>
    <xf numFmtId="37" fontId="4" fillId="0" borderId="4" xfId="6" applyNumberFormat="1" applyFont="1" applyFill="1" applyBorder="1" applyProtection="1"/>
    <xf numFmtId="166" fontId="4" fillId="0" borderId="4" xfId="1" applyNumberFormat="1" applyFont="1" applyFill="1" applyBorder="1"/>
    <xf numFmtId="167" fontId="4" fillId="0" borderId="0" xfId="6" applyFont="1" applyFill="1" applyBorder="1"/>
    <xf numFmtId="166" fontId="4" fillId="0" borderId="5" xfId="1" applyNumberFormat="1" applyFont="1" applyFill="1" applyBorder="1"/>
    <xf numFmtId="167" fontId="4" fillId="0" borderId="6" xfId="6" applyFont="1" applyFill="1" applyBorder="1"/>
    <xf numFmtId="166" fontId="4" fillId="0" borderId="0" xfId="1" applyNumberFormat="1" applyFont="1" applyFill="1" applyBorder="1"/>
    <xf numFmtId="166" fontId="5" fillId="0" borderId="3" xfId="1" applyNumberFormat="1" applyFont="1" applyFill="1" applyBorder="1"/>
    <xf numFmtId="43" fontId="5" fillId="0" borderId="3" xfId="1" applyFont="1" applyFill="1" applyBorder="1"/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7" fontId="5" fillId="0" borderId="0" xfId="1" applyNumberFormat="1" applyFont="1" applyFill="1" applyBorder="1"/>
    <xf numFmtId="37" fontId="4" fillId="0" borderId="0" xfId="15" applyNumberFormat="1" applyFont="1" applyFill="1" applyBorder="1" applyProtection="1"/>
    <xf numFmtId="37" fontId="8" fillId="0" borderId="0" xfId="15" applyNumberFormat="1" applyFont="1" applyFill="1" applyBorder="1" applyProtection="1"/>
    <xf numFmtId="40" fontId="1" fillId="0" borderId="0" xfId="0" applyNumberFormat="1" applyFont="1" applyFill="1"/>
    <xf numFmtId="0" fontId="4" fillId="0" borderId="0" xfId="0" quotePrefix="1" applyFont="1" applyFill="1" applyAlignment="1">
      <alignment horizontal="left"/>
    </xf>
    <xf numFmtId="167" fontId="4" fillId="0" borderId="0" xfId="10" applyFont="1" applyFill="1" applyAlignment="1" applyProtection="1">
      <alignment horizontal="center"/>
    </xf>
    <xf numFmtId="167" fontId="4" fillId="0" borderId="0" xfId="10" applyFont="1" applyFill="1"/>
    <xf numFmtId="167" fontId="7" fillId="0" borderId="0" xfId="10" applyFont="1" applyFill="1" applyAlignment="1" applyProtection="1">
      <alignment horizontal="center"/>
    </xf>
    <xf numFmtId="37" fontId="4" fillId="0" borderId="0" xfId="10" applyNumberFormat="1" applyFont="1" applyFill="1" applyAlignment="1" applyProtection="1">
      <alignment horizontal="center"/>
    </xf>
    <xf numFmtId="0" fontId="12" fillId="0" borderId="0" xfId="0" quotePrefix="1" applyNumberFormat="1" applyFont="1" applyFill="1" applyAlignment="1">
      <alignment horizontal="center"/>
    </xf>
    <xf numFmtId="43" fontId="12" fillId="0" borderId="0" xfId="0" quotePrefix="1" applyNumberFormat="1" applyFont="1" applyFill="1" applyAlignment="1">
      <alignment horizontal="center"/>
    </xf>
    <xf numFmtId="37" fontId="5" fillId="0" borderId="0" xfId="10" applyNumberFormat="1" applyFont="1" applyFill="1" applyAlignment="1" applyProtection="1">
      <alignment horizontal="center"/>
    </xf>
    <xf numFmtId="167" fontId="4" fillId="0" borderId="0" xfId="10" applyFont="1" applyFill="1" applyAlignment="1" applyProtection="1">
      <alignment horizontal="left"/>
    </xf>
    <xf numFmtId="37" fontId="4" fillId="0" borderId="0" xfId="0" applyNumberFormat="1" applyFont="1" applyFill="1" applyAlignment="1">
      <alignment horizontal="centerContinuous"/>
    </xf>
    <xf numFmtId="0" fontId="4" fillId="0" borderId="6" xfId="0" applyFont="1" applyFill="1" applyBorder="1"/>
    <xf numFmtId="0" fontId="4" fillId="0" borderId="7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left"/>
    </xf>
    <xf numFmtId="0" fontId="4" fillId="0" borderId="4" xfId="0" applyFont="1" applyFill="1" applyBorder="1" applyAlignment="1" applyProtection="1">
      <alignment horizontal="center"/>
    </xf>
    <xf numFmtId="37" fontId="5" fillId="0" borderId="0" xfId="15" applyNumberFormat="1" applyFont="1" applyFill="1" applyProtection="1">
      <protection locked="0"/>
    </xf>
    <xf numFmtId="167" fontId="4" fillId="0" borderId="0" xfId="17" applyFont="1" applyFill="1" applyAlignment="1">
      <alignment horizontal="centerContinuous"/>
    </xf>
    <xf numFmtId="167" fontId="10" fillId="0" borderId="0" xfId="17" applyFont="1" applyFill="1" applyAlignment="1">
      <alignment horizontal="centerContinuous"/>
    </xf>
    <xf numFmtId="167" fontId="5" fillId="0" borderId="8" xfId="6" applyFont="1" applyFill="1" applyBorder="1" applyAlignment="1">
      <alignment horizontal="center"/>
    </xf>
    <xf numFmtId="167" fontId="5" fillId="0" borderId="8" xfId="6" applyFont="1" applyFill="1" applyBorder="1"/>
    <xf numFmtId="37" fontId="5" fillId="0" borderId="1" xfId="0" applyNumberFormat="1" applyFont="1" applyFill="1" applyBorder="1" applyProtection="1"/>
    <xf numFmtId="37" fontId="10" fillId="0" borderId="0" xfId="0" applyNumberFormat="1" applyFont="1" applyFill="1" applyProtection="1"/>
    <xf numFmtId="0" fontId="6" fillId="0" borderId="0" xfId="0" applyFont="1" applyFill="1"/>
    <xf numFmtId="0" fontId="1" fillId="0" borderId="0" xfId="14" applyFont="1" applyFill="1"/>
    <xf numFmtId="41" fontId="1" fillId="0" borderId="1" xfId="14" applyNumberFormat="1" applyFill="1" applyBorder="1"/>
    <xf numFmtId="41" fontId="1" fillId="0" borderId="9" xfId="14" applyNumberFormat="1" applyFill="1" applyBorder="1"/>
    <xf numFmtId="41" fontId="1" fillId="0" borderId="0" xfId="14" applyNumberFormat="1" applyFill="1" applyBorder="1"/>
    <xf numFmtId="0" fontId="1" fillId="0" borderId="0" xfId="14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right"/>
    </xf>
    <xf numFmtId="37" fontId="5" fillId="0" borderId="1" xfId="0" applyNumberFormat="1" applyFont="1" applyFill="1" applyBorder="1" applyAlignment="1">
      <alignment horizontal="right"/>
    </xf>
    <xf numFmtId="37" fontId="4" fillId="0" borderId="0" xfId="11" applyFont="1" applyFill="1"/>
    <xf numFmtId="165" fontId="4" fillId="0" borderId="0" xfId="19" applyNumberFormat="1" applyFont="1" applyFill="1"/>
    <xf numFmtId="6" fontId="0" fillId="0" borderId="0" xfId="0" applyNumberFormat="1" applyFill="1"/>
    <xf numFmtId="170" fontId="0" fillId="0" borderId="0" xfId="0" applyNumberFormat="1" applyFill="1"/>
    <xf numFmtId="0" fontId="4" fillId="0" borderId="0" xfId="15" applyFont="1" applyFill="1" applyBorder="1"/>
    <xf numFmtId="0" fontId="10" fillId="0" borderId="0" xfId="0" applyFont="1" applyFill="1"/>
    <xf numFmtId="37" fontId="5" fillId="0" borderId="1" xfId="16" applyNumberFormat="1" applyFont="1" applyFill="1" applyBorder="1" applyAlignment="1" applyProtection="1">
      <alignment horizontal="center"/>
      <protection locked="0"/>
    </xf>
    <xf numFmtId="37" fontId="4" fillId="0" borderId="1" xfId="16" applyNumberFormat="1" applyFont="1" applyFill="1" applyBorder="1" applyAlignment="1" applyProtection="1">
      <alignment horizontal="center"/>
      <protection locked="0"/>
    </xf>
    <xf numFmtId="37" fontId="4" fillId="0" borderId="0" xfId="16" applyNumberFormat="1" applyFont="1" applyFill="1" applyBorder="1" applyAlignment="1" applyProtection="1">
      <alignment horizontal="center"/>
    </xf>
    <xf numFmtId="167" fontId="4" fillId="0" borderId="0" xfId="6" applyFont="1" applyFill="1" applyAlignment="1" applyProtection="1">
      <alignment horizontal="center"/>
    </xf>
    <xf numFmtId="167" fontId="5" fillId="0" borderId="0" xfId="6" applyFont="1" applyFill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4" fillId="0" borderId="0" xfId="0" applyFont="1" applyFill="1" applyAlignment="1" applyProtection="1">
      <alignment horizontal="center"/>
    </xf>
    <xf numFmtId="167" fontId="4" fillId="0" borderId="0" xfId="16" applyFont="1" applyFill="1" applyAlignment="1">
      <alignment horizontal="center"/>
    </xf>
    <xf numFmtId="0" fontId="7" fillId="0" borderId="0" xfId="0" applyFont="1" applyFill="1"/>
    <xf numFmtId="167" fontId="4" fillId="0" borderId="0" xfId="17" applyFont="1" applyFill="1"/>
    <xf numFmtId="167" fontId="10" fillId="0" borderId="0" xfId="17" quotePrefix="1" applyFont="1" applyFill="1" applyAlignment="1" applyProtection="1">
      <alignment horizontal="centerContinuous"/>
    </xf>
    <xf numFmtId="167" fontId="5" fillId="0" borderId="0" xfId="17" applyFont="1" applyFill="1" applyAlignment="1">
      <alignment horizontal="centerContinuous"/>
    </xf>
    <xf numFmtId="167" fontId="11" fillId="0" borderId="0" xfId="17" quotePrefix="1" applyFont="1" applyFill="1" applyAlignment="1" applyProtection="1">
      <alignment horizontal="centerContinuous"/>
      <protection locked="0"/>
    </xf>
    <xf numFmtId="167" fontId="7" fillId="0" borderId="0" xfId="17" applyFont="1" applyFill="1" applyAlignment="1" applyProtection="1">
      <alignment horizontal="left"/>
    </xf>
    <xf numFmtId="167" fontId="7" fillId="0" borderId="0" xfId="16" applyFont="1" applyFill="1" applyAlignment="1" applyProtection="1">
      <alignment horizontal="center"/>
    </xf>
    <xf numFmtId="167" fontId="7" fillId="0" borderId="0" xfId="17" applyFont="1" applyFill="1" applyAlignment="1" applyProtection="1">
      <alignment horizontal="center"/>
    </xf>
    <xf numFmtId="37" fontId="4" fillId="0" borderId="0" xfId="17" applyNumberFormat="1" applyFont="1" applyFill="1" applyAlignment="1" applyProtection="1">
      <alignment horizontal="center"/>
    </xf>
    <xf numFmtId="37" fontId="4" fillId="0" borderId="0" xfId="17" applyNumberFormat="1" applyFont="1" applyFill="1" applyProtection="1"/>
    <xf numFmtId="167" fontId="4" fillId="0" borderId="0" xfId="17" applyFont="1" applyFill="1" applyAlignment="1" applyProtection="1">
      <alignment horizontal="left"/>
    </xf>
    <xf numFmtId="37" fontId="4" fillId="0" borderId="0" xfId="17" applyNumberFormat="1" applyFont="1" applyFill="1" applyBorder="1" applyAlignment="1" applyProtection="1">
      <alignment horizontal="center"/>
    </xf>
    <xf numFmtId="167" fontId="4" fillId="0" borderId="0" xfId="17" applyFont="1" applyFill="1" applyAlignment="1">
      <alignment horizontal="center"/>
    </xf>
    <xf numFmtId="167" fontId="4" fillId="0" borderId="0" xfId="17" applyFont="1" applyFill="1" applyAlignment="1" applyProtection="1">
      <alignment horizontal="center"/>
    </xf>
    <xf numFmtId="167" fontId="4" fillId="0" borderId="0" xfId="16" applyFont="1" applyFill="1"/>
    <xf numFmtId="167" fontId="7" fillId="0" borderId="0" xfId="16" applyFont="1" applyFill="1" applyAlignment="1" applyProtection="1">
      <alignment horizontal="left"/>
    </xf>
    <xf numFmtId="37" fontId="5" fillId="0" borderId="0" xfId="16" applyNumberFormat="1" applyFont="1" applyFill="1" applyProtection="1">
      <protection locked="0"/>
    </xf>
    <xf numFmtId="37" fontId="4" fillId="0" borderId="0" xfId="16" applyNumberFormat="1" applyFont="1" applyFill="1" applyProtection="1">
      <protection locked="0"/>
    </xf>
    <xf numFmtId="37" fontId="4" fillId="0" borderId="0" xfId="16" applyNumberFormat="1" applyFont="1" applyFill="1" applyProtection="1"/>
    <xf numFmtId="167" fontId="4" fillId="0" borderId="0" xfId="16" applyFont="1" applyFill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17" fontId="7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37" fontId="4" fillId="0" borderId="10" xfId="0" applyNumberFormat="1" applyFont="1" applyFill="1" applyBorder="1" applyProtection="1">
      <protection locked="0"/>
    </xf>
    <xf numFmtId="164" fontId="4" fillId="0" borderId="0" xfId="0" applyNumberFormat="1" applyFont="1" applyFill="1"/>
    <xf numFmtId="4" fontId="4" fillId="0" borderId="0" xfId="0" applyNumberFormat="1" applyFont="1" applyFill="1"/>
    <xf numFmtId="165" fontId="4" fillId="0" borderId="0" xfId="0" applyNumberFormat="1" applyFont="1" applyFill="1"/>
    <xf numFmtId="0" fontId="4" fillId="0" borderId="0" xfId="0" applyFont="1" applyFill="1" applyAlignment="1">
      <alignment horizontal="left"/>
    </xf>
    <xf numFmtId="165" fontId="4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38" fontId="1" fillId="0" borderId="0" xfId="0" applyNumberFormat="1" applyFont="1" applyFill="1" applyBorder="1"/>
    <xf numFmtId="166" fontId="6" fillId="0" borderId="0" xfId="1" applyNumberFormat="1" applyFont="1" applyFill="1"/>
    <xf numFmtId="38" fontId="1" fillId="0" borderId="0" xfId="0" quotePrefix="1" applyNumberFormat="1" applyFont="1" applyFill="1" applyBorder="1" applyAlignment="1">
      <alignment horizontal="left"/>
    </xf>
    <xf numFmtId="166" fontId="1" fillId="0" borderId="0" xfId="1" applyNumberFormat="1" applyFont="1" applyFill="1"/>
    <xf numFmtId="0" fontId="4" fillId="0" borderId="0" xfId="0" applyFont="1" applyFill="1" applyAlignment="1" applyProtection="1"/>
    <xf numFmtId="166" fontId="5" fillId="0" borderId="0" xfId="1" applyNumberFormat="1" applyFont="1" applyFill="1" applyProtection="1">
      <protection locked="0"/>
    </xf>
    <xf numFmtId="166" fontId="4" fillId="0" borderId="9" xfId="1" applyNumberFormat="1" applyFont="1" applyFill="1" applyBorder="1" applyProtection="1">
      <protection locked="0"/>
    </xf>
    <xf numFmtId="0" fontId="7" fillId="0" borderId="0" xfId="0" applyFont="1" applyFill="1" applyBorder="1"/>
    <xf numFmtId="166" fontId="4" fillId="0" borderId="11" xfId="0" applyNumberFormat="1" applyFont="1" applyFill="1" applyBorder="1"/>
    <xf numFmtId="0" fontId="4" fillId="0" borderId="0" xfId="15" applyFont="1" applyFill="1"/>
    <xf numFmtId="37" fontId="4" fillId="0" borderId="6" xfId="15" applyNumberFormat="1" applyFont="1" applyFill="1" applyBorder="1" applyAlignment="1" applyProtection="1">
      <alignment horizontal="center"/>
    </xf>
    <xf numFmtId="37" fontId="7" fillId="0" borderId="0" xfId="15" applyNumberFormat="1" applyFont="1" applyFill="1" applyAlignment="1" applyProtection="1">
      <alignment horizontal="left"/>
    </xf>
    <xf numFmtId="37" fontId="4" fillId="0" borderId="5" xfId="15" applyNumberFormat="1" applyFont="1" applyFill="1" applyBorder="1" applyAlignment="1" applyProtection="1">
      <alignment horizontal="center"/>
    </xf>
    <xf numFmtId="37" fontId="4" fillId="0" borderId="4" xfId="15" quotePrefix="1" applyNumberFormat="1" applyFont="1" applyFill="1" applyBorder="1" applyAlignment="1" applyProtection="1">
      <alignment horizontal="center"/>
    </xf>
    <xf numFmtId="37" fontId="4" fillId="0" borderId="4" xfId="15" applyNumberFormat="1" applyFont="1" applyFill="1" applyBorder="1" applyAlignment="1" applyProtection="1">
      <alignment horizontal="center"/>
    </xf>
    <xf numFmtId="37" fontId="4" fillId="0" borderId="0" xfId="15" applyNumberFormat="1" applyFont="1" applyFill="1" applyAlignment="1" applyProtection="1">
      <alignment horizontal="center"/>
      <protection locked="0"/>
    </xf>
    <xf numFmtId="17" fontId="4" fillId="0" borderId="0" xfId="15" applyNumberFormat="1" applyFont="1" applyFill="1" applyBorder="1" applyAlignment="1" applyProtection="1">
      <alignment horizontal="left"/>
    </xf>
    <xf numFmtId="37" fontId="4" fillId="0" borderId="0" xfId="15" applyNumberFormat="1" applyFont="1" applyFill="1"/>
    <xf numFmtId="37" fontId="4" fillId="0" borderId="0" xfId="15" applyNumberFormat="1" applyFont="1" applyFill="1" applyBorder="1" applyAlignment="1" applyProtection="1">
      <alignment horizontal="left"/>
    </xf>
    <xf numFmtId="169" fontId="4" fillId="0" borderId="0" xfId="0" applyNumberFormat="1" applyFont="1" applyFill="1" applyAlignment="1" applyProtection="1">
      <alignment horizontal="left"/>
    </xf>
    <xf numFmtId="3" fontId="7" fillId="0" borderId="0" xfId="0" applyNumberFormat="1" applyFont="1" applyFill="1" applyBorder="1"/>
    <xf numFmtId="40" fontId="21" fillId="0" borderId="0" xfId="0" applyNumberFormat="1" applyFont="1" applyFill="1"/>
    <xf numFmtId="176" fontId="7" fillId="0" borderId="0" xfId="0" applyNumberFormat="1" applyFont="1" applyFill="1" applyAlignment="1">
      <alignment horizontal="center"/>
    </xf>
    <xf numFmtId="38" fontId="1" fillId="0" borderId="0" xfId="0" applyNumberFormat="1" applyFont="1" applyFill="1"/>
    <xf numFmtId="167" fontId="22" fillId="0" borderId="0" xfId="6" applyFont="1" applyFill="1" applyBorder="1" applyAlignment="1">
      <alignment horizontal="right"/>
    </xf>
    <xf numFmtId="166" fontId="22" fillId="0" borderId="0" xfId="1" applyNumberFormat="1" applyFont="1" applyFill="1" applyAlignment="1">
      <alignment horizontal="center"/>
    </xf>
    <xf numFmtId="0" fontId="1" fillId="0" borderId="0" xfId="0" applyFont="1" applyFill="1" applyBorder="1"/>
    <xf numFmtId="3" fontId="1" fillId="0" borderId="0" xfId="0" applyNumberFormat="1" applyFont="1" applyFill="1" applyBorder="1"/>
    <xf numFmtId="166" fontId="22" fillId="0" borderId="0" xfId="1" applyNumberFormat="1" applyFont="1" applyFill="1" applyAlignment="1">
      <alignment horizontal="right"/>
    </xf>
    <xf numFmtId="38" fontId="4" fillId="0" borderId="0" xfId="0" applyNumberFormat="1" applyFont="1" applyFill="1"/>
    <xf numFmtId="0" fontId="16" fillId="0" borderId="0" xfId="18" applyFont="1" applyFill="1"/>
    <xf numFmtId="17" fontId="20" fillId="0" borderId="0" xfId="6" applyNumberFormat="1" applyFont="1" applyFill="1" applyAlignment="1" applyProtection="1">
      <alignment horizontal="left"/>
    </xf>
    <xf numFmtId="40" fontId="4" fillId="0" borderId="0" xfId="0" applyNumberFormat="1" applyFont="1" applyFill="1"/>
    <xf numFmtId="0" fontId="20" fillId="0" borderId="0" xfId="18" applyFont="1" applyFill="1"/>
    <xf numFmtId="37" fontId="5" fillId="0" borderId="0" xfId="0" applyNumberFormat="1" applyFont="1" applyFill="1" applyAlignment="1">
      <alignment horizontal="centerContinuous"/>
    </xf>
    <xf numFmtId="37" fontId="10" fillId="0" borderId="0" xfId="0" applyNumberFormat="1" applyFont="1" applyFill="1"/>
    <xf numFmtId="9" fontId="4" fillId="0" borderId="0" xfId="19" applyFont="1" applyFill="1"/>
    <xf numFmtId="37" fontId="4" fillId="0" borderId="0" xfId="0" applyNumberFormat="1" applyFont="1" applyFill="1" applyAlignment="1">
      <alignment horizontal="left"/>
    </xf>
    <xf numFmtId="6" fontId="7" fillId="0" borderId="0" xfId="0" quotePrefix="1" applyNumberFormat="1" applyFont="1" applyFill="1" applyBorder="1" applyAlignment="1">
      <alignment horizontal="center"/>
    </xf>
    <xf numFmtId="3" fontId="0" fillId="0" borderId="0" xfId="0" applyNumberFormat="1" applyFill="1"/>
    <xf numFmtId="0" fontId="0" fillId="0" borderId="0" xfId="0" applyFill="1" applyAlignment="1"/>
    <xf numFmtId="6" fontId="4" fillId="0" borderId="0" xfId="0" applyNumberFormat="1" applyFont="1" applyFill="1"/>
    <xf numFmtId="6" fontId="4" fillId="0" borderId="0" xfId="0" applyNumberFormat="1" applyFont="1" applyFill="1" applyProtection="1"/>
    <xf numFmtId="37" fontId="4" fillId="0" borderId="1" xfId="0" applyNumberFormat="1" applyFont="1" applyFill="1" applyBorder="1" applyProtection="1"/>
    <xf numFmtId="0" fontId="10" fillId="0" borderId="0" xfId="0" applyFont="1" applyFill="1" applyAlignment="1" applyProtection="1">
      <alignment horizontal="left"/>
    </xf>
    <xf numFmtId="39" fontId="4" fillId="0" borderId="0" xfId="0" applyNumberFormat="1" applyFont="1" applyFill="1" applyProtection="1"/>
    <xf numFmtId="167" fontId="5" fillId="0" borderId="0" xfId="10" quotePrefix="1" applyFont="1" applyFill="1" applyAlignment="1" applyProtection="1">
      <alignment horizontal="center"/>
    </xf>
    <xf numFmtId="167" fontId="4" fillId="0" borderId="0" xfId="6" applyFont="1" applyFill="1" applyAlignment="1">
      <alignment horizontal="center"/>
    </xf>
    <xf numFmtId="167" fontId="4" fillId="0" borderId="0" xfId="6" applyFont="1" applyFill="1" applyAlignment="1" applyProtection="1">
      <alignment horizontal="left"/>
    </xf>
    <xf numFmtId="167" fontId="7" fillId="0" borderId="0" xfId="6" applyFont="1" applyFill="1" applyAlignment="1" applyProtection="1">
      <alignment horizontal="left"/>
    </xf>
    <xf numFmtId="167" fontId="7" fillId="0" borderId="0" xfId="6" applyFont="1" applyFill="1" applyAlignment="1" applyProtection="1">
      <alignment horizontal="center"/>
    </xf>
    <xf numFmtId="0" fontId="14" fillId="0" borderId="0" xfId="18" applyFont="1" applyFill="1"/>
    <xf numFmtId="17" fontId="19" fillId="0" borderId="0" xfId="6" applyNumberFormat="1" applyFont="1" applyFill="1" applyAlignment="1" applyProtection="1">
      <alignment horizontal="left"/>
    </xf>
    <xf numFmtId="0" fontId="19" fillId="0" borderId="0" xfId="18" applyFont="1" applyFill="1"/>
    <xf numFmtId="167" fontId="4" fillId="0" borderId="6" xfId="6" applyFont="1" applyFill="1" applyBorder="1" applyAlignment="1" applyProtection="1">
      <alignment horizontal="center"/>
    </xf>
    <xf numFmtId="0" fontId="4" fillId="0" borderId="12" xfId="18" applyFont="1" applyFill="1" applyBorder="1" applyAlignment="1">
      <alignment horizontal="center"/>
    </xf>
    <xf numFmtId="167" fontId="4" fillId="0" borderId="4" xfId="6" applyFont="1" applyFill="1" applyBorder="1" applyAlignment="1" applyProtection="1">
      <alignment horizontal="center"/>
    </xf>
    <xf numFmtId="37" fontId="5" fillId="0" borderId="0" xfId="6" applyNumberFormat="1" applyFont="1" applyFill="1" applyProtection="1">
      <protection locked="0"/>
    </xf>
    <xf numFmtId="37" fontId="5" fillId="0" borderId="8" xfId="6" applyNumberFormat="1" applyFont="1" applyFill="1" applyBorder="1" applyAlignment="1" applyProtection="1">
      <alignment horizontal="center"/>
      <protection locked="0"/>
    </xf>
    <xf numFmtId="167" fontId="4" fillId="0" borderId="0" xfId="6" quotePrefix="1" applyFont="1" applyFill="1" applyAlignment="1" applyProtection="1">
      <alignment horizontal="left"/>
    </xf>
    <xf numFmtId="0" fontId="4" fillId="0" borderId="13" xfId="18" applyFont="1" applyFill="1" applyBorder="1" applyAlignment="1">
      <alignment horizontal="center"/>
    </xf>
    <xf numFmtId="0" fontId="14" fillId="0" borderId="0" xfId="18" applyFont="1" applyFill="1" applyAlignment="1">
      <alignment horizontal="left"/>
    </xf>
    <xf numFmtId="17" fontId="19" fillId="0" borderId="0" xfId="6" quotePrefix="1" applyNumberFormat="1" applyFont="1" applyFill="1" applyAlignment="1" applyProtection="1">
      <alignment horizontal="left"/>
    </xf>
    <xf numFmtId="0" fontId="14" fillId="0" borderId="0" xfId="18" applyFont="1" applyFill="1" applyAlignment="1">
      <alignment horizontal="center"/>
    </xf>
    <xf numFmtId="0" fontId="4" fillId="0" borderId="0" xfId="0" applyFont="1" applyFill="1" applyAlignment="1">
      <alignment horizontal="right"/>
    </xf>
    <xf numFmtId="169" fontId="4" fillId="0" borderId="0" xfId="0" applyNumberFormat="1" applyFont="1" applyFill="1" applyAlignment="1" applyProtection="1">
      <alignment horizontal="center"/>
    </xf>
    <xf numFmtId="43" fontId="4" fillId="0" borderId="0" xfId="0" applyNumberFormat="1" applyFont="1" applyFill="1"/>
    <xf numFmtId="176" fontId="4" fillId="0" borderId="0" xfId="0" applyNumberFormat="1" applyFont="1" applyFill="1" applyAlignment="1">
      <alignment horizontal="left"/>
    </xf>
    <xf numFmtId="0" fontId="1" fillId="0" borderId="0" xfId="18" applyFont="1" applyFill="1"/>
    <xf numFmtId="0" fontId="1" fillId="0" borderId="0" xfId="18" applyFill="1"/>
    <xf numFmtId="0" fontId="4" fillId="0" borderId="14" xfId="0" applyFont="1" applyFill="1" applyBorder="1"/>
    <xf numFmtId="0" fontId="4" fillId="0" borderId="6" xfId="0" applyFont="1" applyFill="1" applyBorder="1" applyAlignment="1"/>
    <xf numFmtId="0" fontId="4" fillId="0" borderId="15" xfId="0" applyFont="1" applyFill="1" applyBorder="1" applyAlignment="1">
      <alignment horizontal="center"/>
    </xf>
    <xf numFmtId="0" fontId="4" fillId="0" borderId="6" xfId="0" quotePrefix="1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4" fillId="0" borderId="5" xfId="0" applyFont="1" applyFill="1" applyBorder="1" applyAlignment="1">
      <alignment horizontal="center"/>
    </xf>
    <xf numFmtId="37" fontId="4" fillId="0" borderId="0" xfId="0" applyNumberFormat="1" applyFont="1" applyFill="1" applyAlignment="1" applyProtection="1">
      <alignment horizontal="center"/>
      <protection locked="0"/>
    </xf>
    <xf numFmtId="0" fontId="4" fillId="0" borderId="13" xfId="0" applyFont="1" applyFill="1" applyBorder="1" applyAlignment="1" applyProtection="1">
      <alignment horizontal="center"/>
    </xf>
    <xf numFmtId="37" fontId="4" fillId="0" borderId="7" xfId="15" applyNumberFormat="1" applyFont="1" applyFill="1" applyBorder="1" applyAlignment="1" applyProtection="1">
      <alignment horizontal="center"/>
    </xf>
    <xf numFmtId="10" fontId="4" fillId="0" borderId="0" xfId="15" applyNumberFormat="1" applyFont="1" applyFill="1"/>
    <xf numFmtId="37" fontId="4" fillId="0" borderId="15" xfId="15" quotePrefix="1" applyNumberFormat="1" applyFont="1" applyFill="1" applyBorder="1" applyAlignment="1" applyProtection="1">
      <alignment horizontal="center"/>
    </xf>
    <xf numFmtId="37" fontId="4" fillId="0" borderId="16" xfId="15" applyNumberFormat="1" applyFont="1" applyFill="1" applyBorder="1" applyAlignment="1" applyProtection="1">
      <alignment horizontal="center"/>
    </xf>
    <xf numFmtId="37" fontId="4" fillId="0" borderId="0" xfId="15" applyNumberFormat="1" applyFont="1" applyFill="1" applyBorder="1" applyAlignment="1" applyProtection="1">
      <alignment horizontal="center"/>
    </xf>
    <xf numFmtId="0" fontId="4" fillId="0" borderId="0" xfId="15" quotePrefix="1" applyFont="1" applyFill="1" applyAlignment="1">
      <alignment horizontal="right"/>
    </xf>
    <xf numFmtId="0" fontId="4" fillId="0" borderId="0" xfId="15" quotePrefix="1" applyFont="1" applyFill="1" applyAlignment="1">
      <alignment horizontal="center"/>
    </xf>
    <xf numFmtId="37" fontId="0" fillId="0" borderId="0" xfId="0" applyNumberFormat="1"/>
    <xf numFmtId="167" fontId="4" fillId="0" borderId="0" xfId="16" quotePrefix="1" applyFont="1" applyFill="1" applyAlignment="1">
      <alignment horizontal="center"/>
    </xf>
    <xf numFmtId="0" fontId="4" fillId="2" borderId="0" xfId="0" applyFont="1" applyFill="1"/>
    <xf numFmtId="6" fontId="4" fillId="2" borderId="1" xfId="0" quotePrefix="1" applyNumberFormat="1" applyFont="1" applyFill="1" applyBorder="1" applyAlignment="1" applyProtection="1">
      <alignment horizontal="center"/>
    </xf>
    <xf numFmtId="37" fontId="4" fillId="2" borderId="1" xfId="0" quotePrefix="1" applyNumberFormat="1" applyFont="1" applyFill="1" applyBorder="1" applyAlignment="1" applyProtection="1">
      <alignment horizontal="center"/>
    </xf>
    <xf numFmtId="17" fontId="20" fillId="2" borderId="0" xfId="6" quotePrefix="1" applyNumberFormat="1" applyFont="1" applyFill="1" applyAlignment="1" applyProtection="1">
      <alignment horizontal="left"/>
    </xf>
    <xf numFmtId="0" fontId="4" fillId="3" borderId="0" xfId="0" applyFont="1" applyFill="1"/>
    <xf numFmtId="166" fontId="4" fillId="3" borderId="0" xfId="0" applyNumberFormat="1" applyFont="1" applyFill="1"/>
    <xf numFmtId="0" fontId="4" fillId="3" borderId="0" xfId="0" applyFont="1" applyFill="1" applyAlignment="1">
      <alignment horizontal="right"/>
    </xf>
    <xf numFmtId="41" fontId="4" fillId="0" borderId="0" xfId="1" applyNumberFormat="1" applyFont="1" applyFill="1"/>
    <xf numFmtId="15" fontId="7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quotePrefix="1" applyFont="1" applyFill="1" applyAlignment="1">
      <alignment horizontal="center"/>
    </xf>
    <xf numFmtId="166" fontId="0" fillId="0" borderId="0" xfId="0" applyNumberFormat="1"/>
    <xf numFmtId="0" fontId="0" fillId="0" borderId="1" xfId="0" applyBorder="1" applyAlignment="1">
      <alignment horizontal="center"/>
    </xf>
    <xf numFmtId="37" fontId="4" fillId="2" borderId="0" xfId="0" applyNumberFormat="1" applyFont="1" applyFill="1" applyProtection="1"/>
    <xf numFmtId="6" fontId="4" fillId="2" borderId="0" xfId="0" applyNumberFormat="1" applyFont="1" applyFill="1" applyProtection="1"/>
    <xf numFmtId="6" fontId="4" fillId="2" borderId="0" xfId="0" applyNumberFormat="1" applyFont="1" applyFill="1"/>
    <xf numFmtId="166" fontId="0" fillId="0" borderId="0" xfId="1" applyNumberFormat="1" applyFont="1" applyFill="1"/>
    <xf numFmtId="166" fontId="0" fillId="0" borderId="0" xfId="0" applyNumberFormat="1" applyFill="1"/>
    <xf numFmtId="1" fontId="1" fillId="0" borderId="0" xfId="1" applyNumberFormat="1" applyFont="1" applyFill="1" applyBorder="1" applyAlignment="1">
      <alignment horizontal="left"/>
    </xf>
    <xf numFmtId="173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/>
    <xf numFmtId="0" fontId="0" fillId="4" borderId="0" xfId="0" applyFill="1"/>
    <xf numFmtId="0" fontId="0" fillId="0" borderId="0" xfId="0" applyBorder="1"/>
    <xf numFmtId="17" fontId="20" fillId="3" borderId="0" xfId="6" applyNumberFormat="1" applyFont="1" applyFill="1" applyAlignment="1" applyProtection="1">
      <alignment horizontal="left"/>
    </xf>
    <xf numFmtId="167" fontId="4" fillId="0" borderId="1" xfId="16" applyFont="1" applyFill="1" applyBorder="1" applyAlignment="1" applyProtection="1">
      <alignment horizontal="center"/>
    </xf>
    <xf numFmtId="167" fontId="4" fillId="0" borderId="0" xfId="16" applyFont="1" applyFill="1" applyBorder="1" applyAlignment="1" applyProtection="1">
      <alignment horizontal="center"/>
    </xf>
    <xf numFmtId="167" fontId="4" fillId="3" borderId="0" xfId="17" applyFont="1" applyFill="1" applyAlignment="1">
      <alignment horizontal="center"/>
    </xf>
    <xf numFmtId="167" fontId="7" fillId="3" borderId="0" xfId="16" applyFont="1" applyFill="1" applyAlignment="1" applyProtection="1">
      <alignment horizontal="center"/>
    </xf>
    <xf numFmtId="0" fontId="0" fillId="3" borderId="0" xfId="0" applyFill="1"/>
    <xf numFmtId="0" fontId="4" fillId="0" borderId="0" xfId="13" applyFont="1"/>
    <xf numFmtId="37" fontId="7" fillId="0" borderId="0" xfId="5" applyFont="1" applyFill="1" applyBorder="1"/>
    <xf numFmtId="37" fontId="7" fillId="0" borderId="0" xfId="5" applyFont="1" applyFill="1"/>
    <xf numFmtId="167" fontId="4" fillId="3" borderId="0" xfId="10" applyFont="1" applyFill="1"/>
    <xf numFmtId="167" fontId="7" fillId="3" borderId="0" xfId="10" applyFont="1" applyFill="1" applyAlignment="1" applyProtection="1">
      <alignment horizontal="center"/>
    </xf>
    <xf numFmtId="167" fontId="7" fillId="3" borderId="0" xfId="10" applyFont="1" applyFill="1" applyAlignment="1">
      <alignment horizontal="center"/>
    </xf>
    <xf numFmtId="37" fontId="5" fillId="3" borderId="0" xfId="10" applyNumberFormat="1" applyFont="1" applyFill="1" applyAlignment="1" applyProtection="1">
      <alignment horizontal="right"/>
    </xf>
    <xf numFmtId="167" fontId="4" fillId="3" borderId="0" xfId="10" applyFont="1" applyFill="1" applyAlignment="1" applyProtection="1">
      <alignment horizontal="left"/>
    </xf>
    <xf numFmtId="37" fontId="4" fillId="3" borderId="0" xfId="10" applyNumberFormat="1" applyFont="1" applyFill="1" applyAlignment="1" applyProtection="1">
      <alignment horizontal="left"/>
    </xf>
    <xf numFmtId="37" fontId="5" fillId="3" borderId="0" xfId="10" applyNumberFormat="1" applyFont="1" applyFill="1" applyAlignment="1">
      <alignment horizontal="right"/>
    </xf>
    <xf numFmtId="167" fontId="4" fillId="3" borderId="0" xfId="10" applyFont="1" applyFill="1" applyAlignment="1">
      <alignment horizontal="left"/>
    </xf>
    <xf numFmtId="167" fontId="4" fillId="3" borderId="0" xfId="10" quotePrefix="1" applyFont="1" applyFill="1" applyAlignment="1">
      <alignment horizontal="left" wrapText="1"/>
    </xf>
    <xf numFmtId="167" fontId="4" fillId="3" borderId="1" xfId="10" applyFont="1" applyFill="1" applyBorder="1"/>
    <xf numFmtId="37" fontId="5" fillId="3" borderId="1" xfId="10" applyNumberFormat="1" applyFont="1" applyFill="1" applyBorder="1" applyAlignment="1">
      <alignment horizontal="right"/>
    </xf>
    <xf numFmtId="167" fontId="4" fillId="3" borderId="1" xfId="10" applyFont="1" applyFill="1" applyBorder="1" applyAlignment="1">
      <alignment horizontal="left"/>
    </xf>
    <xf numFmtId="37" fontId="4" fillId="3" borderId="0" xfId="10" applyNumberFormat="1" applyFont="1" applyFill="1" applyAlignment="1">
      <alignment horizontal="right"/>
    </xf>
    <xf numFmtId="37" fontId="4" fillId="3" borderId="0" xfId="5" applyFont="1" applyFill="1" applyBorder="1"/>
    <xf numFmtId="37" fontId="4" fillId="3" borderId="0" xfId="5" applyFont="1" applyFill="1"/>
    <xf numFmtId="37" fontId="5" fillId="3" borderId="0" xfId="5" applyFont="1" applyFill="1" applyBorder="1"/>
    <xf numFmtId="0" fontId="0" fillId="3" borderId="0" xfId="0" applyFill="1" applyAlignment="1">
      <alignment horizontal="left"/>
    </xf>
    <xf numFmtId="166" fontId="0" fillId="4" borderId="0" xfId="0" applyNumberFormat="1" applyFill="1"/>
    <xf numFmtId="17" fontId="4" fillId="0" borderId="0" xfId="6" applyNumberFormat="1" applyFont="1" applyFill="1" applyAlignment="1" applyProtection="1">
      <alignment horizontal="left"/>
    </xf>
    <xf numFmtId="0" fontId="0" fillId="0" borderId="0" xfId="0" applyFill="1" applyAlignment="1">
      <alignment horizontal="right"/>
    </xf>
    <xf numFmtId="0" fontId="27" fillId="0" borderId="0" xfId="0" applyFont="1" applyFill="1"/>
    <xf numFmtId="0" fontId="1" fillId="0" borderId="0" xfId="1" applyNumberFormat="1" applyFont="1" applyFill="1" applyBorder="1" applyAlignment="1">
      <alignment horizontal="left"/>
    </xf>
    <xf numFmtId="37" fontId="5" fillId="3" borderId="0" xfId="15" applyNumberFormat="1" applyFont="1" applyFill="1" applyProtection="1"/>
    <xf numFmtId="0" fontId="4" fillId="0" borderId="0" xfId="0" applyNumberFormat="1" applyFont="1" applyFill="1"/>
    <xf numFmtId="37" fontId="4" fillId="3" borderId="0" xfId="15" applyNumberFormat="1" applyFont="1" applyFill="1" applyAlignment="1" applyProtection="1">
      <alignment horizontal="center"/>
      <protection locked="0"/>
    </xf>
    <xf numFmtId="0" fontId="26" fillId="0" borderId="0" xfId="0" applyFont="1"/>
    <xf numFmtId="0" fontId="19" fillId="0" borderId="0" xfId="0" applyFont="1"/>
    <xf numFmtId="167" fontId="4" fillId="0" borderId="0" xfId="6" applyFont="1" applyFill="1" applyAlignment="1">
      <alignment horizontal="left"/>
    </xf>
    <xf numFmtId="166" fontId="29" fillId="0" borderId="0" xfId="1" applyNumberFormat="1" applyFont="1" applyFill="1"/>
    <xf numFmtId="37" fontId="4" fillId="0" borderId="0" xfId="5" applyFont="1" applyFill="1" applyAlignment="1">
      <alignment horizontal="center"/>
    </xf>
    <xf numFmtId="0" fontId="0" fillId="0" borderId="0" xfId="0" applyAlignment="1">
      <alignment vertical="center"/>
    </xf>
    <xf numFmtId="167" fontId="4" fillId="0" borderId="0" xfId="10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4" applyFont="1" applyFill="1" applyAlignment="1">
      <alignment horizontal="right"/>
    </xf>
    <xf numFmtId="0" fontId="4" fillId="0" borderId="0" xfId="15" applyFont="1" applyFill="1" applyAlignment="1">
      <alignment horizontal="right"/>
    </xf>
    <xf numFmtId="37" fontId="4" fillId="0" borderId="0" xfId="5" applyFont="1" applyFill="1" applyAlignment="1">
      <alignment horizontal="right"/>
    </xf>
    <xf numFmtId="167" fontId="4" fillId="0" borderId="0" xfId="16" applyFont="1" applyFill="1" applyAlignment="1">
      <alignment horizontal="right"/>
    </xf>
    <xf numFmtId="167" fontId="4" fillId="0" borderId="0" xfId="17" applyFont="1" applyFill="1" applyAlignment="1">
      <alignment horizontal="right"/>
    </xf>
    <xf numFmtId="0" fontId="0" fillId="3" borderId="0" xfId="0" applyFill="1" applyAlignment="1">
      <alignment horizontal="right"/>
    </xf>
    <xf numFmtId="167" fontId="4" fillId="0" borderId="4" xfId="6" applyFont="1" applyFill="1" applyBorder="1" applyAlignment="1" applyProtection="1">
      <alignment horizontal="center" wrapText="1"/>
    </xf>
    <xf numFmtId="0" fontId="0" fillId="0" borderId="1" xfId="0" applyFill="1" applyBorder="1"/>
    <xf numFmtId="0" fontId="1" fillId="0" borderId="0" xfId="0" applyFont="1" applyFill="1"/>
    <xf numFmtId="0" fontId="1" fillId="3" borderId="0" xfId="0" applyFont="1" applyFill="1"/>
    <xf numFmtId="37" fontId="4" fillId="0" borderId="4" xfId="6" applyNumberFormat="1" applyFont="1" applyFill="1" applyBorder="1" applyProtection="1">
      <protection locked="0"/>
    </xf>
    <xf numFmtId="166" fontId="5" fillId="0" borderId="5" xfId="1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166" fontId="4" fillId="0" borderId="13" xfId="2" applyNumberFormat="1" applyFont="1" applyFill="1" applyBorder="1" applyAlignment="1">
      <alignment horizontal="center"/>
    </xf>
    <xf numFmtId="17" fontId="31" fillId="0" borderId="0" xfId="6" applyNumberFormat="1" applyFont="1" applyFill="1" applyAlignment="1" applyProtection="1">
      <alignment horizontal="left"/>
    </xf>
    <xf numFmtId="0" fontId="6" fillId="0" borderId="0" xfId="0" applyFont="1"/>
    <xf numFmtId="167" fontId="28" fillId="3" borderId="0" xfId="10" applyFont="1" applyFill="1"/>
    <xf numFmtId="0" fontId="32" fillId="0" borderId="0" xfId="13" applyNumberFormat="1" applyFont="1" applyAlignment="1">
      <alignment horizontal="center"/>
    </xf>
    <xf numFmtId="0" fontId="32" fillId="0" borderId="0" xfId="13" applyNumberFormat="1" applyFont="1"/>
    <xf numFmtId="0" fontId="33" fillId="0" borderId="0" xfId="7" applyFont="1" applyFill="1" applyAlignment="1">
      <alignment horizontal="center"/>
    </xf>
    <xf numFmtId="0" fontId="4" fillId="0" borderId="0" xfId="13" applyNumberFormat="1" applyFont="1"/>
    <xf numFmtId="0" fontId="33" fillId="0" borderId="0" xfId="7" applyFont="1" applyFill="1" applyBorder="1" applyAlignment="1">
      <alignment horizontal="center"/>
    </xf>
    <xf numFmtId="0" fontId="34" fillId="0" borderId="0" xfId="13" applyNumberFormat="1" applyFont="1" applyAlignment="1">
      <alignment horizontal="center"/>
    </xf>
    <xf numFmtId="0" fontId="34" fillId="0" borderId="0" xfId="13" applyNumberFormat="1" applyFont="1"/>
    <xf numFmtId="0" fontId="35" fillId="0" borderId="0" xfId="0" applyFont="1" applyBorder="1" applyAlignment="1">
      <alignment horizontal="center"/>
    </xf>
    <xf numFmtId="0" fontId="34" fillId="0" borderId="0" xfId="13" applyNumberFormat="1" applyFont="1" applyBorder="1" applyAlignment="1">
      <alignment horizontal="center"/>
    </xf>
    <xf numFmtId="0" fontId="4" fillId="0" borderId="0" xfId="13" applyFont="1" applyBorder="1"/>
    <xf numFmtId="0" fontId="34" fillId="0" borderId="1" xfId="13" applyNumberFormat="1" applyFont="1" applyBorder="1" applyAlignment="1">
      <alignment horizontal="center"/>
    </xf>
    <xf numFmtId="0" fontId="34" fillId="0" borderId="1" xfId="13" applyNumberFormat="1" applyFont="1" applyBorder="1"/>
    <xf numFmtId="182" fontId="34" fillId="0" borderId="1" xfId="13" applyNumberFormat="1" applyFont="1" applyBorder="1" applyAlignment="1">
      <alignment horizontal="center"/>
    </xf>
    <xf numFmtId="0" fontId="32" fillId="0" borderId="0" xfId="13" applyNumberFormat="1" applyFont="1" applyBorder="1" applyAlignment="1">
      <alignment horizontal="center"/>
    </xf>
    <xf numFmtId="182" fontId="32" fillId="0" borderId="0" xfId="13" applyNumberFormat="1" applyFont="1" applyAlignment="1">
      <alignment horizontal="center"/>
    </xf>
    <xf numFmtId="182" fontId="34" fillId="0" borderId="0" xfId="13" applyNumberFormat="1" applyFont="1" applyBorder="1" applyAlignment="1">
      <alignment horizontal="center"/>
    </xf>
    <xf numFmtId="0" fontId="36" fillId="0" borderId="0" xfId="13" applyFont="1"/>
    <xf numFmtId="0" fontId="37" fillId="0" borderId="0" xfId="13" applyFont="1"/>
    <xf numFmtId="0" fontId="32" fillId="0" borderId="0" xfId="13" applyFont="1"/>
    <xf numFmtId="0" fontId="37" fillId="0" borderId="0" xfId="13" applyFont="1" applyFill="1"/>
    <xf numFmtId="0" fontId="4" fillId="0" borderId="0" xfId="13" applyFont="1" applyFill="1"/>
    <xf numFmtId="166" fontId="38" fillId="0" borderId="0" xfId="13" applyNumberFormat="1" applyFont="1" applyFill="1" applyBorder="1"/>
    <xf numFmtId="166" fontId="38" fillId="5" borderId="0" xfId="13" applyNumberFormat="1" applyFont="1" applyFill="1" applyBorder="1"/>
    <xf numFmtId="0" fontId="37" fillId="5" borderId="0" xfId="13" applyFont="1" applyFill="1" applyAlignment="1">
      <alignment horizontal="center"/>
    </xf>
    <xf numFmtId="166" fontId="37" fillId="0" borderId="0" xfId="13" applyNumberFormat="1" applyFont="1" applyFill="1"/>
    <xf numFmtId="166" fontId="39" fillId="0" borderId="0" xfId="13" applyNumberFormat="1" applyFont="1" applyFill="1" applyBorder="1"/>
    <xf numFmtId="0" fontId="32" fillId="0" borderId="0" xfId="13" applyFont="1" applyFill="1"/>
    <xf numFmtId="0" fontId="40" fillId="0" borderId="0" xfId="13" applyFont="1"/>
    <xf numFmtId="3" fontId="38" fillId="0" borderId="0" xfId="13" applyNumberFormat="1" applyFont="1" applyFill="1" applyBorder="1"/>
    <xf numFmtId="0" fontId="32" fillId="0" borderId="0" xfId="9" applyFont="1" applyFill="1" applyAlignment="1">
      <alignment horizontal="center"/>
    </xf>
    <xf numFmtId="0" fontId="32" fillId="0" borderId="0" xfId="9" applyFont="1" applyFill="1" applyAlignment="1">
      <alignment horizontal="left" indent="2"/>
    </xf>
    <xf numFmtId="39" fontId="32" fillId="0" borderId="0" xfId="9" applyNumberFormat="1" applyFont="1" applyFill="1"/>
    <xf numFmtId="166" fontId="38" fillId="5" borderId="0" xfId="13" applyNumberFormat="1" applyFont="1" applyFill="1"/>
    <xf numFmtId="166" fontId="38" fillId="0" borderId="0" xfId="13" applyNumberFormat="1" applyFont="1" applyFill="1"/>
    <xf numFmtId="0" fontId="37" fillId="0" borderId="0" xfId="0" applyFont="1" applyFill="1"/>
    <xf numFmtId="0" fontId="37" fillId="0" borderId="0" xfId="0" applyFont="1"/>
    <xf numFmtId="0" fontId="4" fillId="0" borderId="0" xfId="0" applyFont="1"/>
    <xf numFmtId="166" fontId="37" fillId="0" borderId="11" xfId="1" applyNumberFormat="1" applyFont="1" applyBorder="1"/>
    <xf numFmtId="0" fontId="1" fillId="0" borderId="0" xfId="14" applyFont="1" applyFill="1" applyAlignment="1">
      <alignment horizontal="center"/>
    </xf>
    <xf numFmtId="0" fontId="41" fillId="0" borderId="0" xfId="14" applyFont="1" applyFill="1" applyAlignment="1">
      <alignment horizontal="center"/>
    </xf>
    <xf numFmtId="167" fontId="7" fillId="0" borderId="0" xfId="16" applyFont="1" applyFill="1" applyBorder="1" applyAlignment="1" applyProtection="1">
      <alignment horizontal="center"/>
    </xf>
    <xf numFmtId="0" fontId="4" fillId="0" borderId="19" xfId="0" applyFont="1" applyFill="1" applyBorder="1"/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37" fontId="5" fillId="0" borderId="0" xfId="0" applyNumberFormat="1" applyFont="1" applyFill="1" applyAlignment="1"/>
    <xf numFmtId="37" fontId="4" fillId="0" borderId="0" xfId="0" applyNumberFormat="1" applyFont="1" applyFill="1" applyAlignment="1"/>
    <xf numFmtId="37" fontId="5" fillId="0" borderId="1" xfId="0" applyNumberFormat="1" applyFont="1" applyFill="1" applyBorder="1" applyAlignment="1"/>
    <xf numFmtId="37" fontId="4" fillId="0" borderId="1" xfId="0" applyNumberFormat="1" applyFont="1" applyFill="1" applyBorder="1" applyAlignment="1">
      <alignment horizontal="right"/>
    </xf>
    <xf numFmtId="0" fontId="10" fillId="0" borderId="26" xfId="0" applyFont="1" applyFill="1" applyBorder="1"/>
    <xf numFmtId="0" fontId="0" fillId="0" borderId="0" xfId="0" applyAlignment="1"/>
    <xf numFmtId="167" fontId="4" fillId="3" borderId="0" xfId="10" applyFont="1" applyFill="1" applyBorder="1" applyAlignment="1">
      <alignment horizontal="left"/>
    </xf>
    <xf numFmtId="167" fontId="30" fillId="3" borderId="0" xfId="10" applyFont="1" applyFill="1"/>
    <xf numFmtId="167" fontId="30" fillId="3" borderId="1" xfId="10" applyFont="1" applyFill="1" applyBorder="1"/>
    <xf numFmtId="37" fontId="6" fillId="6" borderId="0" xfId="0" applyNumberFormat="1" applyFont="1" applyFill="1"/>
    <xf numFmtId="37" fontId="10" fillId="0" borderId="1" xfId="0" applyNumberFormat="1" applyFont="1" applyFill="1" applyBorder="1" applyAlignment="1">
      <alignment horizontal="center"/>
    </xf>
    <xf numFmtId="167" fontId="19" fillId="0" borderId="0" xfId="10" applyFont="1" applyFill="1"/>
    <xf numFmtId="0" fontId="34" fillId="0" borderId="0" xfId="13" applyNumberFormat="1" applyFont="1" applyBorder="1"/>
    <xf numFmtId="38" fontId="1" fillId="0" borderId="0" xfId="0" applyNumberFormat="1" applyFont="1" applyFill="1" applyAlignment="1">
      <alignment horizontal="center"/>
    </xf>
    <xf numFmtId="38" fontId="0" fillId="0" borderId="0" xfId="0" applyNumberFormat="1" applyFont="1" applyFill="1" applyAlignment="1">
      <alignment horizontal="center"/>
    </xf>
    <xf numFmtId="0" fontId="4" fillId="0" borderId="0" xfId="18" applyFont="1" applyFill="1"/>
    <xf numFmtId="0" fontId="7" fillId="0" borderId="0" xfId="18" applyFont="1" applyFill="1" applyAlignment="1">
      <alignment horizontal="center"/>
    </xf>
    <xf numFmtId="37" fontId="4" fillId="3" borderId="1" xfId="0" quotePrefix="1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4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14" applyFont="1" applyFill="1" applyAlignment="1">
      <alignment horizontal="center"/>
    </xf>
    <xf numFmtId="0" fontId="46" fillId="0" borderId="0" xfId="14" quotePrefix="1" applyFont="1" applyFill="1" applyAlignment="1">
      <alignment horizontal="center"/>
    </xf>
    <xf numFmtId="0" fontId="46" fillId="0" borderId="0" xfId="14" applyFont="1" applyFill="1" applyAlignment="1">
      <alignment horizontal="center"/>
    </xf>
    <xf numFmtId="10" fontId="4" fillId="0" borderId="1" xfId="19" applyNumberFormat="1" applyFont="1" applyFill="1" applyBorder="1"/>
    <xf numFmtId="10" fontId="4" fillId="0" borderId="0" xfId="19" applyNumberFormat="1" applyFont="1" applyFill="1"/>
    <xf numFmtId="167" fontId="5" fillId="0" borderId="0" xfId="6" applyFont="1" applyFill="1" applyAlignment="1" applyProtection="1">
      <alignment horizontal="center"/>
      <protection locked="0"/>
    </xf>
    <xf numFmtId="37" fontId="4" fillId="0" borderId="0" xfId="5" applyFont="1" applyFill="1" applyAlignment="1"/>
    <xf numFmtId="0" fontId="4" fillId="0" borderId="0" xfId="0" applyFont="1" applyFill="1" applyBorder="1" applyAlignment="1"/>
    <xf numFmtId="167" fontId="1" fillId="0" borderId="0" xfId="6" applyFont="1" applyFill="1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40" fontId="15" fillId="0" borderId="0" xfId="0" applyNumberFormat="1" applyFont="1"/>
    <xf numFmtId="166" fontId="48" fillId="3" borderId="0" xfId="1" applyNumberFormat="1" applyFont="1" applyFill="1"/>
    <xf numFmtId="166" fontId="48" fillId="0" borderId="0" xfId="1" applyNumberFormat="1" applyFont="1" applyFill="1"/>
    <xf numFmtId="37" fontId="1" fillId="0" borderId="0" xfId="0" applyNumberFormat="1" applyFont="1" applyFill="1"/>
    <xf numFmtId="0" fontId="15" fillId="0" borderId="0" xfId="0" applyFont="1" applyAlignment="1">
      <alignment horizontal="left" indent="1"/>
    </xf>
    <xf numFmtId="0" fontId="15" fillId="0" borderId="0" xfId="0" applyFont="1" applyAlignment="1">
      <alignment horizontal="left" indent="2"/>
    </xf>
    <xf numFmtId="37" fontId="5" fillId="0" borderId="0" xfId="0" applyNumberFormat="1" applyFont="1" applyFill="1" applyBorder="1" applyAlignment="1">
      <alignment horizontal="right"/>
    </xf>
    <xf numFmtId="3" fontId="1" fillId="7" borderId="0" xfId="0" applyNumberFormat="1" applyFont="1" applyFill="1"/>
    <xf numFmtId="3" fontId="1" fillId="7" borderId="0" xfId="0" applyNumberFormat="1" applyFont="1" applyFill="1" applyAlignment="1">
      <alignment horizontal="left" indent="4"/>
    </xf>
    <xf numFmtId="38" fontId="1" fillId="7" borderId="0" xfId="0" applyNumberFormat="1" applyFont="1" applyFill="1"/>
    <xf numFmtId="40" fontId="0" fillId="0" borderId="0" xfId="0" applyNumberFormat="1"/>
    <xf numFmtId="3" fontId="10" fillId="0" borderId="0" xfId="21" applyFont="1" applyFill="1" applyAlignment="1">
      <alignment horizontal="left"/>
    </xf>
    <xf numFmtId="3" fontId="1" fillId="0" borderId="0" xfId="21" applyNumberFormat="1" applyFont="1" applyFill="1" applyAlignment="1"/>
    <xf numFmtId="3" fontId="1" fillId="0" borderId="0" xfId="21" applyFont="1" applyFill="1" applyAlignment="1"/>
    <xf numFmtId="3" fontId="1" fillId="0" borderId="0" xfId="21" applyNumberFormat="1" applyFill="1" applyAlignment="1"/>
    <xf numFmtId="3" fontId="7" fillId="0" borderId="0" xfId="21" applyFont="1" applyFill="1" applyAlignment="1">
      <alignment horizontal="center"/>
    </xf>
    <xf numFmtId="3" fontId="1" fillId="0" borderId="0" xfId="21" applyFill="1" applyAlignment="1"/>
    <xf numFmtId="37" fontId="1" fillId="0" borderId="0" xfId="21" applyNumberFormat="1" applyFont="1" applyFill="1" applyAlignment="1"/>
    <xf numFmtId="3" fontId="1" fillId="0" borderId="0" xfId="21" applyNumberFormat="1" applyFont="1" applyFill="1" applyAlignment="1">
      <alignment horizontal="left"/>
    </xf>
    <xf numFmtId="3" fontId="1" fillId="0" borderId="0" xfId="21" applyNumberFormat="1" applyFont="1" applyFill="1" applyAlignment="1" applyProtection="1">
      <protection locked="0"/>
    </xf>
    <xf numFmtId="0" fontId="1" fillId="0" borderId="0" xfId="0" applyFont="1" applyFill="1" applyAlignment="1"/>
    <xf numFmtId="3" fontId="1" fillId="0" borderId="0" xfId="21" applyNumberFormat="1" applyFont="1" applyAlignment="1" applyProtection="1">
      <protection locked="0"/>
    </xf>
    <xf numFmtId="3" fontId="1" fillId="0" borderId="0" xfId="21" applyNumberFormat="1" applyFont="1" applyAlignment="1"/>
    <xf numFmtId="3" fontId="1" fillId="0" borderId="0" xfId="21" applyFont="1" applyAlignment="1"/>
    <xf numFmtId="3" fontId="1" fillId="0" borderId="0" xfId="21" applyAlignment="1">
      <alignment horizontal="center"/>
    </xf>
    <xf numFmtId="3" fontId="7" fillId="0" borderId="0" xfId="21" applyFont="1" applyAlignment="1">
      <alignment horizontal="center"/>
    </xf>
    <xf numFmtId="37" fontId="1" fillId="0" borderId="0" xfId="21" applyNumberFormat="1" applyFont="1" applyAlignment="1"/>
    <xf numFmtId="0" fontId="1" fillId="0" borderId="0" xfId="0" applyFont="1" applyAlignment="1"/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10" fontId="1" fillId="0" borderId="0" xfId="19" applyNumberFormat="1" applyFont="1" applyFill="1" applyAlignment="1">
      <alignment horizontal="right"/>
    </xf>
    <xf numFmtId="166" fontId="1" fillId="9" borderId="0" xfId="1" applyNumberFormat="1" applyFont="1" applyFill="1"/>
    <xf numFmtId="37" fontId="4" fillId="9" borderId="0" xfId="0" applyNumberFormat="1" applyFont="1" applyFill="1" applyAlignment="1" applyProtection="1">
      <alignment horizontal="left"/>
      <protection locked="0"/>
    </xf>
    <xf numFmtId="37" fontId="4" fillId="9" borderId="0" xfId="0" applyNumberFormat="1" applyFont="1" applyFill="1"/>
    <xf numFmtId="37" fontId="5" fillId="9" borderId="0" xfId="0" applyNumberFormat="1" applyFont="1" applyFill="1"/>
    <xf numFmtId="0" fontId="4" fillId="9" borderId="0" xfId="0" applyFont="1" applyFill="1"/>
    <xf numFmtId="171" fontId="4" fillId="9" borderId="0" xfId="0" applyNumberFormat="1" applyFont="1" applyFill="1" applyAlignment="1" applyProtection="1">
      <alignment horizontal="left"/>
      <protection locked="0"/>
    </xf>
    <xf numFmtId="1" fontId="4" fillId="9" borderId="0" xfId="0" applyNumberFormat="1" applyFont="1" applyFill="1" applyAlignment="1" applyProtection="1">
      <alignment horizontal="left"/>
      <protection locked="0"/>
    </xf>
    <xf numFmtId="37" fontId="4" fillId="9" borderId="0" xfId="0" quotePrefix="1" applyNumberFormat="1" applyFont="1" applyFill="1" applyAlignment="1" applyProtection="1">
      <alignment horizontal="left"/>
      <protection locked="0"/>
    </xf>
    <xf numFmtId="37" fontId="4" fillId="9" borderId="0" xfId="0" quotePrefix="1" applyNumberFormat="1" applyFont="1" applyFill="1" applyAlignment="1">
      <alignment horizontal="left"/>
    </xf>
    <xf numFmtId="37" fontId="5" fillId="9" borderId="1" xfId="0" applyNumberFormat="1" applyFont="1" applyFill="1" applyBorder="1"/>
    <xf numFmtId="37" fontId="4" fillId="9" borderId="0" xfId="0" applyNumberFormat="1" applyFont="1" applyFill="1" applyBorder="1"/>
    <xf numFmtId="1" fontId="4" fillId="9" borderId="0" xfId="0" quotePrefix="1" applyNumberFormat="1" applyFont="1" applyFill="1" applyAlignment="1" applyProtection="1">
      <alignment horizontal="left"/>
      <protection locked="0"/>
    </xf>
    <xf numFmtId="0" fontId="4" fillId="9" borderId="0" xfId="0" applyFont="1" applyFill="1" applyAlignment="1">
      <alignment horizontal="right"/>
    </xf>
    <xf numFmtId="37" fontId="10" fillId="9" borderId="0" xfId="0" applyNumberFormat="1" applyFont="1" applyFill="1"/>
    <xf numFmtId="172" fontId="4" fillId="9" borderId="0" xfId="0" applyNumberFormat="1" applyFont="1" applyFill="1" applyAlignment="1" applyProtection="1">
      <alignment horizontal="left"/>
      <protection locked="0"/>
    </xf>
    <xf numFmtId="1" fontId="4" fillId="9" borderId="0" xfId="0" applyNumberFormat="1" applyFont="1" applyFill="1" applyAlignment="1">
      <alignment horizontal="left"/>
    </xf>
    <xf numFmtId="37" fontId="4" fillId="9" borderId="1" xfId="0" applyNumberFormat="1" applyFont="1" applyFill="1" applyBorder="1"/>
    <xf numFmtId="166" fontId="5" fillId="9" borderId="0" xfId="1" applyNumberFormat="1" applyFont="1" applyFill="1" applyBorder="1"/>
    <xf numFmtId="37" fontId="5" fillId="9" borderId="0" xfId="0" applyNumberFormat="1" applyFont="1" applyFill="1" applyBorder="1"/>
    <xf numFmtId="175" fontId="4" fillId="9" borderId="0" xfId="0" applyNumberFormat="1" applyFont="1" applyFill="1" applyAlignment="1">
      <alignment horizontal="left"/>
    </xf>
    <xf numFmtId="166" fontId="4" fillId="9" borderId="0" xfId="0" applyNumberFormat="1" applyFont="1" applyFill="1" applyAlignment="1">
      <alignment horizontal="center"/>
    </xf>
    <xf numFmtId="37" fontId="4" fillId="9" borderId="0" xfId="0" applyNumberFormat="1" applyFont="1" applyFill="1" applyAlignment="1">
      <alignment horizontal="left"/>
    </xf>
    <xf numFmtId="37" fontId="4" fillId="9" borderId="9" xfId="0" applyNumberFormat="1" applyFont="1" applyFill="1" applyBorder="1"/>
    <xf numFmtId="0" fontId="4" fillId="9" borderId="0" xfId="0" applyFont="1" applyFill="1" applyAlignment="1"/>
    <xf numFmtId="0" fontId="9" fillId="9" borderId="0" xfId="0" applyFont="1" applyFill="1"/>
    <xf numFmtId="0" fontId="4" fillId="9" borderId="21" xfId="0" applyFont="1" applyFill="1" applyBorder="1"/>
    <xf numFmtId="0" fontId="4" fillId="9" borderId="0" xfId="0" applyFont="1" applyFill="1" applyBorder="1"/>
    <xf numFmtId="0" fontId="9" fillId="9" borderId="0" xfId="0" applyFont="1" applyFill="1" applyBorder="1"/>
    <xf numFmtId="0" fontId="4" fillId="9" borderId="0" xfId="0" quotePrefix="1" applyFont="1" applyFill="1" applyBorder="1" applyAlignment="1">
      <alignment horizontal="left"/>
    </xf>
    <xf numFmtId="166" fontId="4" fillId="9" borderId="22" xfId="1" applyNumberFormat="1" applyFont="1" applyFill="1" applyBorder="1"/>
    <xf numFmtId="0" fontId="4" fillId="9" borderId="22" xfId="0" applyFont="1" applyFill="1" applyBorder="1"/>
    <xf numFmtId="0" fontId="4" fillId="9" borderId="23" xfId="0" applyFont="1" applyFill="1" applyBorder="1"/>
    <xf numFmtId="0" fontId="4" fillId="9" borderId="24" xfId="0" applyFont="1" applyFill="1" applyBorder="1"/>
    <xf numFmtId="0" fontId="4" fillId="9" borderId="25" xfId="0" applyFont="1" applyFill="1" applyBorder="1"/>
    <xf numFmtId="166" fontId="5" fillId="9" borderId="22" xfId="1" applyNumberFormat="1" applyFont="1" applyFill="1" applyBorder="1"/>
    <xf numFmtId="166" fontId="4" fillId="9" borderId="0" xfId="0" applyNumberFormat="1" applyFont="1" applyFill="1"/>
    <xf numFmtId="37" fontId="4" fillId="9" borderId="24" xfId="0" quotePrefix="1" applyNumberFormat="1" applyFont="1" applyFill="1" applyBorder="1" applyAlignment="1">
      <alignment horizontal="left"/>
    </xf>
    <xf numFmtId="0" fontId="42" fillId="9" borderId="21" xfId="0" applyFont="1" applyFill="1" applyBorder="1"/>
    <xf numFmtId="0" fontId="42" fillId="9" borderId="14" xfId="0" applyFont="1" applyFill="1" applyBorder="1" applyAlignment="1"/>
    <xf numFmtId="0" fontId="4" fillId="9" borderId="10" xfId="0" applyFont="1" applyFill="1" applyBorder="1" applyAlignment="1"/>
    <xf numFmtId="0" fontId="4" fillId="9" borderId="15" xfId="0" applyFont="1" applyFill="1" applyBorder="1" applyAlignment="1"/>
    <xf numFmtId="0" fontId="4" fillId="9" borderId="27" xfId="0" applyFont="1" applyFill="1" applyBorder="1"/>
    <xf numFmtId="38" fontId="1" fillId="9" borderId="16" xfId="0" applyNumberFormat="1" applyFont="1" applyFill="1" applyBorder="1"/>
    <xf numFmtId="166" fontId="4" fillId="9" borderId="16" xfId="1" applyNumberFormat="1" applyFont="1" applyFill="1" applyBorder="1"/>
    <xf numFmtId="0" fontId="4" fillId="9" borderId="16" xfId="0" applyFont="1" applyFill="1" applyBorder="1"/>
    <xf numFmtId="0" fontId="4" fillId="9" borderId="3" xfId="0" applyFont="1" applyFill="1" applyBorder="1"/>
    <xf numFmtId="0" fontId="4" fillId="9" borderId="1" xfId="0" applyFont="1" applyFill="1" applyBorder="1"/>
    <xf numFmtId="0" fontId="4" fillId="9" borderId="8" xfId="0" applyFont="1" applyFill="1" applyBorder="1"/>
    <xf numFmtId="0" fontId="10" fillId="0" borderId="13" xfId="0" applyFont="1" applyBorder="1"/>
    <xf numFmtId="37" fontId="6" fillId="0" borderId="24" xfId="0" applyNumberFormat="1" applyFont="1" applyFill="1" applyBorder="1"/>
    <xf numFmtId="37" fontId="6" fillId="6" borderId="24" xfId="0" applyNumberFormat="1" applyFont="1" applyFill="1" applyBorder="1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 applyProtection="1">
      <alignment horizontal="left"/>
    </xf>
    <xf numFmtId="0" fontId="1" fillId="0" borderId="1" xfId="0" applyFont="1" applyFill="1" applyBorder="1" applyAlignment="1">
      <alignment horizontal="center"/>
    </xf>
    <xf numFmtId="166" fontId="6" fillId="9" borderId="0" xfId="1" applyNumberFormat="1" applyFont="1" applyFill="1"/>
    <xf numFmtId="166" fontId="6" fillId="9" borderId="1" xfId="1" applyNumberFormat="1" applyFont="1" applyFill="1" applyBorder="1"/>
    <xf numFmtId="3" fontId="7" fillId="0" borderId="0" xfId="21" applyNumberFormat="1" applyFont="1" applyAlignment="1">
      <alignment horizontal="center" wrapText="1"/>
    </xf>
    <xf numFmtId="166" fontId="48" fillId="9" borderId="1" xfId="1" applyNumberFormat="1" applyFont="1" applyFill="1" applyBorder="1"/>
    <xf numFmtId="166" fontId="6" fillId="9" borderId="0" xfId="1" applyNumberFormat="1" applyFont="1" applyFill="1" applyBorder="1"/>
    <xf numFmtId="0" fontId="1" fillId="0" borderId="0" xfId="0" applyNumberFormat="1" applyFont="1" applyFill="1" applyBorder="1" applyAlignment="1">
      <alignment horizontal="left"/>
    </xf>
    <xf numFmtId="3" fontId="0" fillId="0" borderId="0" xfId="0" applyNumberFormat="1" applyFont="1" applyFill="1" applyAlignment="1" applyProtection="1">
      <protection locked="0"/>
    </xf>
    <xf numFmtId="3" fontId="0" fillId="0" borderId="0" xfId="0" applyNumberFormat="1" applyFont="1" applyFill="1" applyAlignment="1"/>
    <xf numFmtId="3" fontId="0" fillId="0" borderId="0" xfId="0" applyNumberFormat="1" applyFont="1" applyFill="1" applyAlignment="1">
      <alignment horizontal="centerContinuous"/>
    </xf>
    <xf numFmtId="3" fontId="7" fillId="0" borderId="0" xfId="0" applyNumberFormat="1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3" fontId="0" fillId="0" borderId="0" xfId="0" applyNumberFormat="1" applyFill="1" applyAlignment="1">
      <alignment horizontal="centerContinuous"/>
    </xf>
    <xf numFmtId="3" fontId="0" fillId="0" borderId="17" xfId="0" applyNumberFormat="1" applyFont="1" applyFill="1" applyBorder="1" applyAlignment="1"/>
    <xf numFmtId="37" fontId="0" fillId="0" borderId="0" xfId="0" applyNumberFormat="1" applyFont="1" applyFill="1" applyAlignment="1"/>
    <xf numFmtId="37" fontId="0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3" fontId="0" fillId="0" borderId="0" xfId="0" applyNumberFormat="1" applyFont="1" applyFill="1" applyAlignment="1">
      <alignment horizontal="left"/>
    </xf>
    <xf numFmtId="37" fontId="0" fillId="10" borderId="0" xfId="0" applyNumberFormat="1" applyFont="1" applyFill="1" applyAlignment="1"/>
    <xf numFmtId="37" fontId="0" fillId="0" borderId="17" xfId="0" applyNumberFormat="1" applyFont="1" applyFill="1" applyBorder="1" applyAlignment="1"/>
    <xf numFmtId="37" fontId="0" fillId="0" borderId="18" xfId="0" applyNumberFormat="1" applyFont="1" applyFill="1" applyBorder="1" applyAlignment="1"/>
    <xf numFmtId="37" fontId="0" fillId="11" borderId="0" xfId="0" applyNumberFormat="1" applyFont="1" applyFill="1" applyAlignment="1"/>
    <xf numFmtId="0" fontId="0" fillId="8" borderId="0" xfId="0" applyFill="1" applyAlignment="1"/>
    <xf numFmtId="37" fontId="0" fillId="8" borderId="0" xfId="0" applyNumberFormat="1" applyFont="1" applyFill="1" applyAlignment="1"/>
    <xf numFmtId="37" fontId="1" fillId="0" borderId="18" xfId="0" applyNumberFormat="1" applyFont="1" applyFill="1" applyBorder="1" applyAlignment="1"/>
    <xf numFmtId="3" fontId="0" fillId="8" borderId="0" xfId="0" applyNumberFormat="1" applyFont="1" applyFill="1" applyAlignment="1"/>
    <xf numFmtId="37" fontId="0" fillId="8" borderId="0" xfId="0" applyNumberFormat="1" applyFont="1" applyFill="1" applyBorder="1" applyAlignment="1"/>
    <xf numFmtId="37" fontId="0" fillId="0" borderId="0" xfId="0" applyNumberFormat="1" applyFill="1" applyAlignment="1"/>
    <xf numFmtId="37" fontId="0" fillId="0" borderId="0" xfId="0" applyNumberFormat="1" applyFont="1" applyFill="1" applyBorder="1" applyAlignment="1"/>
    <xf numFmtId="3" fontId="0" fillId="0" borderId="0" xfId="0" applyNumberFormat="1" applyFont="1" applyAlignment="1" applyProtection="1">
      <protection locked="0"/>
    </xf>
    <xf numFmtId="3" fontId="0" fillId="0" borderId="0" xfId="0" applyNumberFormat="1" applyFont="1" applyAlignment="1"/>
    <xf numFmtId="0" fontId="0" fillId="0" borderId="0" xfId="0" applyFont="1" applyAlignment="1"/>
    <xf numFmtId="3" fontId="0" fillId="0" borderId="0" xfId="0" applyNumberFormat="1" applyFill="1" applyAlignment="1"/>
    <xf numFmtId="0" fontId="7" fillId="0" borderId="0" xfId="0" applyFont="1" applyAlignment="1">
      <alignment horizontal="center"/>
    </xf>
    <xf numFmtId="3" fontId="0" fillId="0" borderId="0" xfId="0" applyNumberFormat="1" applyFont="1" applyAlignment="1">
      <alignment horizontal="centerContinuous"/>
    </xf>
    <xf numFmtId="3" fontId="7" fillId="0" borderId="0" xfId="0" applyNumberFormat="1" applyFont="1" applyAlignment="1">
      <alignment horizontal="centerContinuous"/>
    </xf>
    <xf numFmtId="0" fontId="0" fillId="0" borderId="0" xfId="0" applyFont="1" applyAlignment="1">
      <alignment horizontal="center"/>
    </xf>
    <xf numFmtId="3" fontId="0" fillId="0" borderId="0" xfId="0" applyNumberFormat="1" applyAlignment="1">
      <alignment horizontal="centerContinuous"/>
    </xf>
    <xf numFmtId="3" fontId="1" fillId="0" borderId="0" xfId="0" applyNumberFormat="1" applyFont="1" applyFill="1" applyAlignment="1">
      <alignment horizontal="centerContinuous"/>
    </xf>
    <xf numFmtId="3" fontId="0" fillId="0" borderId="17" xfId="0" applyNumberFormat="1" applyFont="1" applyBorder="1" applyAlignment="1"/>
    <xf numFmtId="0" fontId="0" fillId="0" borderId="0" xfId="0" applyFont="1" applyFill="1" applyAlignment="1">
      <alignment horizontal="left"/>
    </xf>
    <xf numFmtId="37" fontId="1" fillId="0" borderId="0" xfId="0" applyNumberFormat="1" applyFont="1" applyFill="1" applyAlignment="1"/>
    <xf numFmtId="37" fontId="0" fillId="8" borderId="0" xfId="0" applyNumberFormat="1" applyFill="1" applyAlignment="1"/>
    <xf numFmtId="0" fontId="0" fillId="0" borderId="0" xfId="0" applyFill="1"/>
    <xf numFmtId="0" fontId="0" fillId="9" borderId="0" xfId="0" quotePrefix="1" applyFill="1" applyAlignment="1">
      <alignment horizontal="left"/>
    </xf>
    <xf numFmtId="0" fontId="0" fillId="9" borderId="0" xfId="0" applyFill="1"/>
    <xf numFmtId="37" fontId="0" fillId="9" borderId="0" xfId="0" applyNumberFormat="1" applyFill="1"/>
    <xf numFmtId="6" fontId="5" fillId="9" borderId="0" xfId="0" applyNumberFormat="1" applyFont="1" applyFill="1"/>
    <xf numFmtId="166" fontId="5" fillId="9" borderId="0" xfId="1" applyNumberFormat="1" applyFont="1" applyFill="1"/>
    <xf numFmtId="38" fontId="5" fillId="9" borderId="0" xfId="0" applyNumberFormat="1" applyFont="1" applyFill="1"/>
    <xf numFmtId="38" fontId="4" fillId="9" borderId="0" xfId="0" applyNumberFormat="1" applyFont="1" applyFill="1"/>
    <xf numFmtId="37" fontId="6" fillId="9" borderId="0" xfId="0" applyNumberFormat="1" applyFont="1" applyFill="1"/>
    <xf numFmtId="37" fontId="0" fillId="9" borderId="1" xfId="0" applyNumberFormat="1" applyFill="1" applyBorder="1"/>
    <xf numFmtId="166" fontId="0" fillId="0" borderId="0" xfId="1" applyNumberFormat="1" applyFont="1" applyBorder="1"/>
    <xf numFmtId="166" fontId="52" fillId="9" borderId="1" xfId="1" applyNumberFormat="1" applyFont="1" applyFill="1" applyBorder="1"/>
    <xf numFmtId="166" fontId="6" fillId="9" borderId="0" xfId="1" applyNumberFormat="1" applyFont="1" applyFill="1" applyProtection="1">
      <protection locked="0"/>
    </xf>
    <xf numFmtId="166" fontId="6" fillId="9" borderId="1" xfId="1" applyNumberFormat="1" applyFont="1" applyFill="1" applyBorder="1" applyProtection="1">
      <protection locked="0"/>
    </xf>
    <xf numFmtId="37" fontId="5" fillId="9" borderId="0" xfId="1" applyNumberFormat="1" applyFont="1" applyFill="1"/>
    <xf numFmtId="166" fontId="4" fillId="9" borderId="0" xfId="1" applyNumberFormat="1" applyFont="1" applyFill="1" applyAlignment="1">
      <alignment horizontal="center"/>
    </xf>
    <xf numFmtId="166" fontId="4" fillId="9" borderId="0" xfId="1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166" fontId="5" fillId="0" borderId="0" xfId="1" applyNumberFormat="1" applyFont="1" applyFill="1" applyAlignment="1"/>
    <xf numFmtId="166" fontId="38" fillId="12" borderId="0" xfId="13" applyNumberFormat="1" applyFont="1" applyFill="1" applyBorder="1"/>
    <xf numFmtId="0" fontId="37" fillId="9" borderId="0" xfId="13" applyFont="1" applyFill="1" applyAlignment="1">
      <alignment horizontal="center"/>
    </xf>
    <xf numFmtId="166" fontId="38" fillId="9" borderId="0" xfId="13" applyNumberFormat="1" applyFont="1" applyFill="1" applyBorder="1"/>
    <xf numFmtId="166" fontId="38" fillId="12" borderId="0" xfId="13" applyNumberFormat="1" applyFont="1" applyFill="1"/>
    <xf numFmtId="166" fontId="6" fillId="9" borderId="22" xfId="1" applyNumberFormat="1" applyFont="1" applyFill="1" applyBorder="1"/>
    <xf numFmtId="17" fontId="52" fillId="0" borderId="0" xfId="6" quotePrefix="1" applyNumberFormat="1" applyFont="1" applyFill="1" applyAlignment="1" applyProtection="1">
      <alignment horizontal="left"/>
    </xf>
    <xf numFmtId="37" fontId="5" fillId="0" borderId="0" xfId="16" applyNumberFormat="1" applyFont="1" applyFill="1" applyBorder="1" applyAlignment="1" applyProtection="1">
      <alignment horizontal="center"/>
      <protection locked="0"/>
    </xf>
    <xf numFmtId="37" fontId="5" fillId="0" borderId="0" xfId="16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44" fontId="10" fillId="0" borderId="0" xfId="3" applyFont="1" applyAlignment="1">
      <alignment horizontal="center"/>
    </xf>
    <xf numFmtId="166" fontId="52" fillId="0" borderId="0" xfId="1" applyNumberFormat="1" applyFont="1" applyFill="1"/>
    <xf numFmtId="174" fontId="52" fillId="0" borderId="0" xfId="0" applyNumberFormat="1" applyFont="1" applyFill="1" applyAlignment="1">
      <alignment horizontal="right"/>
    </xf>
    <xf numFmtId="166" fontId="5" fillId="0" borderId="0" xfId="1" applyNumberFormat="1" applyFont="1" applyFill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9" borderId="0" xfId="0" applyFont="1" applyFill="1" applyAlignment="1" applyProtection="1">
      <alignment horizontal="left"/>
    </xf>
    <xf numFmtId="0" fontId="43" fillId="9" borderId="0" xfId="0" applyFont="1" applyFill="1" applyAlignment="1" applyProtection="1">
      <alignment horizontal="left"/>
    </xf>
    <xf numFmtId="37" fontId="4" fillId="9" borderId="0" xfId="0" applyNumberFormat="1" applyFont="1" applyFill="1" applyProtection="1">
      <protection locked="0"/>
    </xf>
    <xf numFmtId="0" fontId="1" fillId="9" borderId="0" xfId="0" applyFont="1" applyFill="1"/>
    <xf numFmtId="0" fontId="1" fillId="9" borderId="0" xfId="0" applyFont="1" applyFill="1" applyBorder="1"/>
    <xf numFmtId="0" fontId="1" fillId="9" borderId="0" xfId="0" applyFont="1" applyFill="1" applyAlignment="1" applyProtection="1">
      <alignment horizontal="left"/>
    </xf>
    <xf numFmtId="37" fontId="4" fillId="9" borderId="0" xfId="0" applyNumberFormat="1" applyFont="1" applyFill="1" applyBorder="1" applyProtection="1">
      <protection locked="0"/>
    </xf>
    <xf numFmtId="37" fontId="4" fillId="9" borderId="1" xfId="0" applyNumberFormat="1" applyFont="1" applyFill="1" applyBorder="1" applyProtection="1">
      <protection locked="0"/>
    </xf>
    <xf numFmtId="0" fontId="30" fillId="9" borderId="0" xfId="0" applyFont="1" applyFill="1"/>
    <xf numFmtId="37" fontId="5" fillId="9" borderId="0" xfId="0" applyNumberFormat="1" applyFont="1" applyFill="1" applyProtection="1">
      <protection locked="0"/>
    </xf>
    <xf numFmtId="37" fontId="5" fillId="9" borderId="0" xfId="0" applyNumberFormat="1" applyFont="1" applyFill="1" applyBorder="1" applyProtection="1">
      <protection locked="0"/>
    </xf>
    <xf numFmtId="0" fontId="14" fillId="9" borderId="0" xfId="18" applyFont="1" applyFill="1"/>
    <xf numFmtId="17" fontId="19" fillId="9" borderId="0" xfId="6" applyNumberFormat="1" applyFont="1" applyFill="1" applyAlignment="1" applyProtection="1">
      <alignment horizontal="left"/>
    </xf>
    <xf numFmtId="0" fontId="1" fillId="0" borderId="0" xfId="0" applyFont="1" applyAlignment="1">
      <alignment horizontal="center"/>
    </xf>
    <xf numFmtId="0" fontId="35" fillId="0" borderId="0" xfId="0" applyFont="1" applyFill="1" applyAlignment="1">
      <alignment horizontal="left"/>
    </xf>
    <xf numFmtId="0" fontId="35" fillId="0" borderId="0" xfId="0" applyFont="1" applyFill="1" applyAlignment="1"/>
    <xf numFmtId="37" fontId="0" fillId="0" borderId="28" xfId="0" applyNumberFormat="1" applyFont="1" applyFill="1" applyBorder="1" applyAlignment="1"/>
    <xf numFmtId="37" fontId="1" fillId="0" borderId="0" xfId="0" applyNumberFormat="1" applyFont="1" applyFill="1" applyBorder="1" applyAlignment="1"/>
    <xf numFmtId="0" fontId="1" fillId="8" borderId="0" xfId="0" applyFont="1" applyFill="1" applyAlignment="1"/>
    <xf numFmtId="37" fontId="4" fillId="9" borderId="0" xfId="11" applyFont="1" applyFill="1"/>
    <xf numFmtId="37" fontId="4" fillId="9" borderId="0" xfId="11" applyFont="1" applyFill="1" applyAlignment="1">
      <alignment horizontal="right"/>
    </xf>
    <xf numFmtId="37" fontId="4" fillId="9" borderId="0" xfId="11" applyFont="1" applyFill="1" applyAlignment="1" applyProtection="1">
      <alignment horizontal="left"/>
    </xf>
    <xf numFmtId="178" fontId="4" fillId="9" borderId="0" xfId="12" applyNumberFormat="1" applyFont="1" applyFill="1" applyAlignment="1" applyProtection="1">
      <alignment horizontal="right"/>
      <protection locked="0"/>
    </xf>
    <xf numFmtId="37" fontId="7" fillId="9" borderId="0" xfId="11" applyFont="1" applyFill="1" applyAlignment="1" applyProtection="1">
      <alignment horizontal="left"/>
    </xf>
    <xf numFmtId="10" fontId="4" fillId="9" borderId="0" xfId="12" applyNumberFormat="1" applyFont="1" applyFill="1" applyAlignment="1" applyProtection="1">
      <alignment horizontal="right"/>
      <protection locked="0"/>
    </xf>
    <xf numFmtId="179" fontId="5" fillId="9" borderId="0" xfId="19" applyNumberFormat="1" applyFont="1" applyFill="1"/>
    <xf numFmtId="179" fontId="4" fillId="9" borderId="0" xfId="19" applyNumberFormat="1" applyFont="1" applyFill="1"/>
    <xf numFmtId="37" fontId="4" fillId="9" borderId="0" xfId="11" quotePrefix="1" applyFont="1" applyFill="1" applyAlignment="1">
      <alignment horizontal="left"/>
    </xf>
    <xf numFmtId="37" fontId="4" fillId="9" borderId="0" xfId="11" applyFont="1" applyFill="1" applyAlignment="1">
      <alignment horizontal="right" vertical="top"/>
    </xf>
    <xf numFmtId="179" fontId="5" fillId="9" borderId="0" xfId="19" applyNumberFormat="1" applyFont="1" applyFill="1" applyAlignment="1">
      <alignment vertical="top"/>
    </xf>
    <xf numFmtId="37" fontId="7" fillId="9" borderId="0" xfId="11" applyFont="1" applyFill="1"/>
    <xf numFmtId="179" fontId="5" fillId="9" borderId="1" xfId="19" applyNumberFormat="1" applyFont="1" applyFill="1" applyBorder="1"/>
    <xf numFmtId="37" fontId="5" fillId="9" borderId="0" xfId="11" applyFont="1" applyFill="1"/>
    <xf numFmtId="168" fontId="4" fillId="9" borderId="0" xfId="19" applyNumberFormat="1" applyFont="1" applyFill="1"/>
    <xf numFmtId="179" fontId="4" fillId="9" borderId="1" xfId="19" applyNumberFormat="1" applyFont="1" applyFill="1" applyBorder="1"/>
    <xf numFmtId="179" fontId="4" fillId="9" borderId="9" xfId="19" applyNumberFormat="1" applyFont="1" applyFill="1" applyBorder="1"/>
    <xf numFmtId="0" fontId="4" fillId="9" borderId="0" xfId="0" quotePrefix="1" applyFont="1" applyFill="1"/>
    <xf numFmtId="43" fontId="0" fillId="0" borderId="0" xfId="1" applyFont="1"/>
    <xf numFmtId="43" fontId="10" fillId="0" borderId="13" xfId="1" applyFont="1" applyBorder="1"/>
    <xf numFmtId="0" fontId="0" fillId="9" borderId="0" xfId="0" applyFill="1"/>
    <xf numFmtId="0" fontId="0" fillId="0" borderId="0" xfId="0" applyAlignment="1">
      <alignment horizontal="center"/>
    </xf>
    <xf numFmtId="0" fontId="0" fillId="13" borderId="0" xfId="0" applyFill="1" applyAlignment="1"/>
    <xf numFmtId="37" fontId="0" fillId="13" borderId="0" xfId="0" applyNumberFormat="1" applyFont="1" applyFill="1" applyAlignment="1"/>
    <xf numFmtId="0" fontId="0" fillId="14" borderId="0" xfId="0" applyFill="1" applyAlignment="1"/>
    <xf numFmtId="37" fontId="0" fillId="14" borderId="0" xfId="0" applyNumberFormat="1" applyFont="1" applyFill="1" applyAlignment="1"/>
    <xf numFmtId="0" fontId="0" fillId="15" borderId="0" xfId="0" applyFill="1" applyAlignment="1"/>
    <xf numFmtId="37" fontId="0" fillId="15" borderId="0" xfId="0" applyNumberFormat="1" applyFont="1" applyFill="1" applyAlignment="1"/>
    <xf numFmtId="3" fontId="0" fillId="13" borderId="0" xfId="0" applyNumberFormat="1" applyFont="1" applyFill="1" applyAlignment="1"/>
    <xf numFmtId="37" fontId="0" fillId="13" borderId="0" xfId="0" applyNumberFormat="1" applyFont="1" applyFill="1" applyBorder="1" applyAlignment="1"/>
    <xf numFmtId="37" fontId="1" fillId="13" borderId="0" xfId="0" applyNumberFormat="1" applyFont="1" applyFill="1" applyBorder="1" applyAlignment="1"/>
    <xf numFmtId="3" fontId="0" fillId="15" borderId="0" xfId="0" applyNumberFormat="1" applyFont="1" applyFill="1" applyAlignment="1"/>
    <xf numFmtId="37" fontId="0" fillId="15" borderId="0" xfId="0" applyNumberFormat="1" applyFont="1" applyFill="1" applyBorder="1" applyAlignment="1"/>
    <xf numFmtId="37" fontId="1" fillId="15" borderId="0" xfId="0" applyNumberFormat="1" applyFont="1" applyFill="1" applyBorder="1" applyAlignment="1"/>
    <xf numFmtId="37" fontId="1" fillId="8" borderId="0" xfId="0" applyNumberFormat="1" applyFont="1" applyFill="1" applyBorder="1" applyAlignment="1"/>
    <xf numFmtId="3" fontId="0" fillId="0" borderId="29" xfId="0" applyNumberFormat="1" applyFont="1" applyFill="1" applyBorder="1" applyAlignment="1"/>
    <xf numFmtId="37" fontId="0" fillId="0" borderId="30" xfId="0" applyNumberFormat="1" applyFont="1" applyFill="1" applyBorder="1" applyAlignment="1"/>
    <xf numFmtId="37" fontId="1" fillId="0" borderId="30" xfId="0" applyNumberFormat="1" applyFont="1" applyFill="1" applyBorder="1" applyAlignment="1"/>
    <xf numFmtId="37" fontId="0" fillId="0" borderId="31" xfId="0" applyNumberFormat="1" applyFont="1" applyFill="1" applyBorder="1" applyAlignment="1"/>
    <xf numFmtId="0" fontId="1" fillId="15" borderId="0" xfId="0" applyFont="1" applyFill="1" applyAlignment="1"/>
    <xf numFmtId="0" fontId="1" fillId="13" borderId="0" xfId="0" applyFont="1" applyFill="1" applyAlignment="1"/>
    <xf numFmtId="0" fontId="1" fillId="14" borderId="0" xfId="0" applyFont="1" applyFill="1" applyAlignment="1"/>
    <xf numFmtId="37" fontId="0" fillId="15" borderId="0" xfId="0" applyNumberFormat="1" applyFill="1" applyAlignment="1"/>
    <xf numFmtId="37" fontId="0" fillId="13" borderId="0" xfId="0" applyNumberFormat="1" applyFill="1" applyAlignment="1"/>
    <xf numFmtId="37" fontId="1" fillId="13" borderId="0" xfId="0" applyNumberFormat="1" applyFont="1" applyFill="1" applyAlignment="1"/>
    <xf numFmtId="37" fontId="0" fillId="0" borderId="11" xfId="0" applyNumberFormat="1" applyFont="1" applyFill="1" applyBorder="1" applyAlignment="1"/>
    <xf numFmtId="3" fontId="0" fillId="0" borderId="30" xfId="0" applyNumberFormat="1" applyFont="1" applyBorder="1" applyAlignment="1"/>
    <xf numFmtId="3" fontId="0" fillId="0" borderId="30" xfId="0" applyNumberFormat="1" applyFont="1" applyFill="1" applyBorder="1" applyAlignment="1"/>
    <xf numFmtId="3" fontId="0" fillId="0" borderId="31" xfId="0" applyNumberFormat="1" applyFont="1" applyFill="1" applyBorder="1" applyAlignment="1"/>
    <xf numFmtId="3" fontId="30" fillId="0" borderId="0" xfId="21" applyNumberFormat="1" applyFont="1" applyFill="1" applyAlignment="1"/>
    <xf numFmtId="0" fontId="10" fillId="9" borderId="0" xfId="12" applyNumberFormat="1" applyFont="1" applyFill="1" applyBorder="1" applyAlignment="1" applyProtection="1">
      <alignment vertical="center"/>
      <protection locked="0"/>
    </xf>
    <xf numFmtId="0" fontId="9" fillId="9" borderId="0" xfId="0" applyFont="1" applyFill="1" applyAlignment="1"/>
    <xf numFmtId="0" fontId="25" fillId="9" borderId="0" xfId="7" applyFont="1" applyFill="1"/>
    <xf numFmtId="0" fontId="4" fillId="9" borderId="0" xfId="12" applyNumberFormat="1" applyFont="1" applyFill="1" applyBorder="1" applyAlignment="1" applyProtection="1">
      <protection locked="0"/>
    </xf>
    <xf numFmtId="0" fontId="10" fillId="9" borderId="0" xfId="7" applyFont="1" applyFill="1" applyAlignment="1">
      <alignment horizontal="center" wrapText="1"/>
    </xf>
    <xf numFmtId="41" fontId="10" fillId="9" borderId="0" xfId="7" applyNumberFormat="1" applyFont="1" applyFill="1" applyBorder="1" applyAlignment="1">
      <alignment horizontal="center" wrapText="1"/>
    </xf>
    <xf numFmtId="0" fontId="4" fillId="9" borderId="0" xfId="7" applyFont="1" applyFill="1" applyAlignment="1">
      <alignment horizontal="left"/>
    </xf>
    <xf numFmtId="166" fontId="4" fillId="9" borderId="0" xfId="19" applyNumberFormat="1" applyFont="1" applyFill="1" applyBorder="1"/>
    <xf numFmtId="0" fontId="59" fillId="5" borderId="0" xfId="7" applyFont="1" applyFill="1"/>
    <xf numFmtId="166" fontId="59" fillId="5" borderId="0" xfId="1" applyNumberFormat="1" applyFont="1" applyFill="1" applyBorder="1"/>
    <xf numFmtId="166" fontId="60" fillId="0" borderId="0" xfId="7" applyNumberFormat="1" applyFont="1" applyFill="1"/>
    <xf numFmtId="166" fontId="59" fillId="5" borderId="0" xfId="7" applyNumberFormat="1" applyFont="1" applyFill="1"/>
    <xf numFmtId="166" fontId="59" fillId="5" borderId="0" xfId="1" applyNumberFormat="1" applyFont="1" applyFill="1"/>
    <xf numFmtId="0" fontId="60" fillId="0" borderId="0" xfId="0" applyFont="1"/>
    <xf numFmtId="0" fontId="60" fillId="0" borderId="1" xfId="0" applyFont="1" applyBorder="1"/>
    <xf numFmtId="0" fontId="60" fillId="0" borderId="1" xfId="7" applyFont="1" applyFill="1" applyBorder="1"/>
    <xf numFmtId="0" fontId="60" fillId="0" borderId="0" xfId="7" applyFont="1" applyFill="1"/>
    <xf numFmtId="0" fontId="60" fillId="0" borderId="0" xfId="7" applyFont="1"/>
    <xf numFmtId="0" fontId="60" fillId="0" borderId="0" xfId="7" applyFont="1" applyFill="1" applyAlignment="1">
      <alignment horizontal="left"/>
    </xf>
    <xf numFmtId="166" fontId="60" fillId="0" borderId="0" xfId="19" applyNumberFormat="1" applyFont="1" applyFill="1" applyBorder="1"/>
    <xf numFmtId="0" fontId="25" fillId="9" borderId="0" xfId="7" applyFont="1" applyFill="1" applyBorder="1"/>
    <xf numFmtId="176" fontId="5" fillId="5" borderId="0" xfId="7" applyNumberFormat="1" applyFont="1" applyFill="1"/>
    <xf numFmtId="10" fontId="5" fillId="9" borderId="0" xfId="19" applyNumberFormat="1" applyFont="1" applyFill="1"/>
    <xf numFmtId="0" fontId="0" fillId="9" borderId="0" xfId="0" applyFill="1"/>
    <xf numFmtId="0" fontId="0" fillId="9" borderId="0" xfId="0" applyFill="1" applyAlignment="1">
      <alignment horizontal="center"/>
    </xf>
    <xf numFmtId="0" fontId="27" fillId="9" borderId="0" xfId="0" applyFont="1" applyFill="1"/>
    <xf numFmtId="0" fontId="0" fillId="9" borderId="0" xfId="0" applyFill="1" applyAlignment="1">
      <alignment horizontal="right"/>
    </xf>
    <xf numFmtId="0" fontId="35" fillId="9" borderId="0" xfId="0" applyFont="1" applyFill="1"/>
    <xf numFmtId="0" fontId="35" fillId="9" borderId="0" xfId="0" applyFont="1" applyFill="1" applyAlignment="1">
      <alignment horizontal="center"/>
    </xf>
    <xf numFmtId="0" fontId="35" fillId="9" borderId="0" xfId="0" applyFont="1" applyFill="1" applyAlignment="1">
      <alignment horizontal="left"/>
    </xf>
    <xf numFmtId="0" fontId="50" fillId="9" borderId="0" xfId="18" applyFont="1" applyFill="1" applyAlignment="1">
      <alignment horizontal="center"/>
    </xf>
    <xf numFmtId="0" fontId="35" fillId="9" borderId="0" xfId="20" applyFont="1" applyFill="1"/>
    <xf numFmtId="181" fontId="49" fillId="9" borderId="0" xfId="20" applyNumberFormat="1" applyFont="1" applyFill="1"/>
    <xf numFmtId="181" fontId="35" fillId="9" borderId="0" xfId="20" applyNumberFormat="1" applyFont="1" applyFill="1"/>
    <xf numFmtId="180" fontId="35" fillId="9" borderId="0" xfId="1" applyNumberFormat="1" applyFont="1" applyFill="1"/>
    <xf numFmtId="37" fontId="35" fillId="9" borderId="0" xfId="0" applyNumberFormat="1" applyFont="1" applyFill="1" applyAlignment="1">
      <alignment horizontal="center"/>
    </xf>
    <xf numFmtId="37" fontId="35" fillId="9" borderId="0" xfId="0" applyNumberFormat="1" applyFont="1" applyFill="1" applyBorder="1"/>
    <xf numFmtId="172" fontId="35" fillId="9" borderId="0" xfId="0" applyNumberFormat="1" applyFont="1" applyFill="1"/>
    <xf numFmtId="37" fontId="35" fillId="9" borderId="0" xfId="0" applyNumberFormat="1" applyFont="1" applyFill="1"/>
    <xf numFmtId="0" fontId="6" fillId="9" borderId="0" xfId="0" applyFont="1" applyFill="1"/>
    <xf numFmtId="0" fontId="19" fillId="9" borderId="0" xfId="18" applyFont="1" applyFill="1"/>
    <xf numFmtId="167" fontId="4" fillId="9" borderId="0" xfId="6" applyFont="1" applyFill="1"/>
    <xf numFmtId="167" fontId="5" fillId="9" borderId="0" xfId="6" quotePrefix="1" applyFont="1" applyFill="1" applyAlignment="1" applyProtection="1">
      <alignment horizontal="center"/>
      <protection locked="0"/>
    </xf>
    <xf numFmtId="14" fontId="10" fillId="9" borderId="0" xfId="0" applyNumberFormat="1" applyFont="1" applyFill="1" applyBorder="1" applyAlignment="1">
      <alignment horizontal="center"/>
    </xf>
    <xf numFmtId="0" fontId="10" fillId="9" borderId="0" xfId="0" applyFont="1" applyFill="1" applyBorder="1" applyAlignment="1">
      <alignment horizontal="right"/>
    </xf>
    <xf numFmtId="4" fontId="10" fillId="9" borderId="0" xfId="0" applyNumberFormat="1" applyFont="1" applyFill="1" applyBorder="1"/>
    <xf numFmtId="0" fontId="0" fillId="9" borderId="0" xfId="0" applyFill="1" applyBorder="1"/>
    <xf numFmtId="0" fontId="55" fillId="9" borderId="0" xfId="0" applyFont="1" applyFill="1" applyAlignment="1">
      <alignment horizontal="center"/>
    </xf>
    <xf numFmtId="0" fontId="56" fillId="9" borderId="0" xfId="0" applyFont="1" applyFill="1" applyAlignment="1">
      <alignment horizontal="center"/>
    </xf>
    <xf numFmtId="0" fontId="57" fillId="9" borderId="0" xfId="0" applyFont="1" applyFill="1" applyAlignment="1">
      <alignment horizontal="center"/>
    </xf>
    <xf numFmtId="37" fontId="58" fillId="9" borderId="0" xfId="3" applyNumberFormat="1" applyFont="1" applyFill="1"/>
    <xf numFmtId="0" fontId="0" fillId="9" borderId="11" xfId="0" applyFill="1" applyBorder="1" applyAlignment="1">
      <alignment horizontal="center"/>
    </xf>
    <xf numFmtId="37" fontId="58" fillId="9" borderId="11" xfId="3" applyNumberFormat="1" applyFont="1" applyFill="1" applyBorder="1"/>
    <xf numFmtId="0" fontId="56" fillId="9" borderId="0" xfId="0" applyFont="1" applyFill="1" applyAlignment="1">
      <alignment horizontal="center" wrapText="1"/>
    </xf>
    <xf numFmtId="43" fontId="48" fillId="9" borderId="0" xfId="1" applyFont="1" applyFill="1"/>
    <xf numFmtId="37" fontId="4" fillId="9" borderId="0" xfId="6" applyNumberFormat="1" applyFont="1" applyFill="1"/>
    <xf numFmtId="0" fontId="0" fillId="9" borderId="0" xfId="0" applyFill="1" applyAlignment="1">
      <alignment horizontal="center"/>
    </xf>
    <xf numFmtId="0" fontId="5" fillId="9" borderId="0" xfId="0" applyFont="1" applyFill="1" applyAlignment="1">
      <alignment horizontal="center"/>
    </xf>
    <xf numFmtId="37" fontId="4" fillId="9" borderId="0" xfId="5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37" fontId="4" fillId="0" borderId="0" xfId="5" applyFont="1" applyFill="1" applyAlignment="1">
      <alignment horizontal="center"/>
    </xf>
    <xf numFmtId="167" fontId="4" fillId="0" borderId="0" xfId="6" applyFont="1" applyFill="1" applyAlignment="1" applyProtection="1">
      <alignment horizontal="center"/>
    </xf>
    <xf numFmtId="167" fontId="4" fillId="0" borderId="0" xfId="6" quotePrefix="1" applyFont="1" applyFill="1" applyAlignment="1" applyProtection="1">
      <alignment horizontal="center"/>
    </xf>
    <xf numFmtId="0" fontId="1" fillId="0" borderId="0" xfId="18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7" fontId="4" fillId="0" borderId="2" xfId="6" applyFont="1" applyFill="1" applyBorder="1" applyAlignment="1">
      <alignment horizontal="center"/>
    </xf>
    <xf numFmtId="167" fontId="4" fillId="0" borderId="13" xfId="6" applyFont="1" applyFill="1" applyBorder="1" applyAlignment="1">
      <alignment horizontal="center"/>
    </xf>
    <xf numFmtId="167" fontId="4" fillId="0" borderId="12" xfId="6" applyFont="1" applyFill="1" applyBorder="1" applyAlignment="1">
      <alignment horizontal="center"/>
    </xf>
    <xf numFmtId="167" fontId="4" fillId="0" borderId="3" xfId="6" applyFont="1" applyFill="1" applyBorder="1" applyAlignment="1">
      <alignment horizontal="center"/>
    </xf>
    <xf numFmtId="167" fontId="4" fillId="0" borderId="8" xfId="6" applyFont="1" applyFill="1" applyBorder="1" applyAlignment="1">
      <alignment horizontal="center"/>
    </xf>
    <xf numFmtId="167" fontId="4" fillId="0" borderId="3" xfId="6" applyFont="1" applyFill="1" applyBorder="1" applyAlignment="1" applyProtection="1">
      <alignment horizontal="center"/>
    </xf>
    <xf numFmtId="167" fontId="4" fillId="0" borderId="8" xfId="6" applyFont="1" applyFill="1" applyBorder="1" applyAlignment="1" applyProtection="1">
      <alignment horizontal="center"/>
    </xf>
    <xf numFmtId="167" fontId="4" fillId="0" borderId="2" xfId="6" applyFont="1" applyFill="1" applyBorder="1" applyAlignment="1" applyProtection="1">
      <alignment horizontal="center"/>
    </xf>
    <xf numFmtId="167" fontId="4" fillId="0" borderId="12" xfId="6" applyFont="1" applyFill="1" applyBorder="1" applyAlignment="1" applyProtection="1">
      <alignment horizontal="center"/>
    </xf>
    <xf numFmtId="37" fontId="4" fillId="0" borderId="2" xfId="6" applyNumberFormat="1" applyFont="1" applyFill="1" applyBorder="1" applyAlignment="1" applyProtection="1">
      <alignment horizontal="center"/>
    </xf>
    <xf numFmtId="37" fontId="4" fillId="0" borderId="13" xfId="6" applyNumberFormat="1" applyFont="1" applyFill="1" applyBorder="1" applyAlignment="1" applyProtection="1">
      <alignment horizontal="center"/>
    </xf>
    <xf numFmtId="37" fontId="4" fillId="0" borderId="12" xfId="6" applyNumberFormat="1" applyFont="1" applyFill="1" applyBorder="1" applyAlignment="1" applyProtection="1">
      <alignment horizontal="center"/>
    </xf>
    <xf numFmtId="167" fontId="5" fillId="0" borderId="0" xfId="6" quotePrefix="1" applyFont="1" applyFill="1" applyAlignment="1" applyProtection="1">
      <alignment horizontal="center"/>
      <protection locked="0"/>
    </xf>
    <xf numFmtId="167" fontId="5" fillId="0" borderId="0" xfId="6" applyFont="1" applyFill="1" applyAlignment="1" applyProtection="1">
      <alignment horizontal="center"/>
      <protection locked="0"/>
    </xf>
    <xf numFmtId="167" fontId="4" fillId="0" borderId="13" xfId="6" applyFont="1" applyFill="1" applyBorder="1" applyAlignment="1" applyProtection="1">
      <alignment horizontal="center"/>
    </xf>
    <xf numFmtId="37" fontId="4" fillId="0" borderId="0" xfId="5" applyFont="1" applyFill="1" applyAlignment="1">
      <alignment horizontal="center" vertical="center"/>
    </xf>
    <xf numFmtId="167" fontId="4" fillId="9" borderId="0" xfId="6" applyFont="1" applyFill="1" applyAlignment="1" applyProtection="1">
      <alignment horizontal="center"/>
    </xf>
    <xf numFmtId="167" fontId="4" fillId="9" borderId="0" xfId="6" quotePrefix="1" applyFont="1" applyFill="1" applyAlignment="1" applyProtection="1">
      <alignment horizontal="center"/>
    </xf>
    <xf numFmtId="167" fontId="5" fillId="9" borderId="0" xfId="6" quotePrefix="1" applyFont="1" applyFill="1" applyAlignment="1" applyProtection="1">
      <alignment horizontal="center"/>
      <protection locked="0"/>
    </xf>
    <xf numFmtId="37" fontId="4" fillId="9" borderId="0" xfId="5" applyFont="1" applyFill="1" applyAlignment="1">
      <alignment horizontal="center" vertical="center"/>
    </xf>
    <xf numFmtId="0" fontId="0" fillId="9" borderId="0" xfId="0" applyFill="1" applyAlignment="1">
      <alignment vertical="center"/>
    </xf>
    <xf numFmtId="0" fontId="5" fillId="0" borderId="0" xfId="0" quotePrefix="1" applyFont="1" applyFill="1" applyAlignment="1">
      <alignment horizontal="center"/>
    </xf>
    <xf numFmtId="167" fontId="4" fillId="0" borderId="0" xfId="10" applyFont="1" applyFill="1" applyAlignment="1" applyProtection="1">
      <alignment horizontal="center"/>
    </xf>
    <xf numFmtId="167" fontId="5" fillId="0" borderId="0" xfId="10" quotePrefix="1" applyFont="1" applyFill="1" applyAlignment="1" applyProtection="1">
      <alignment horizontal="center"/>
    </xf>
    <xf numFmtId="37" fontId="4" fillId="9" borderId="0" xfId="11" applyFont="1" applyFill="1" applyAlignment="1" applyProtection="1">
      <alignment horizontal="center"/>
    </xf>
    <xf numFmtId="37" fontId="5" fillId="9" borderId="0" xfId="11" applyFont="1" applyFill="1" applyAlignment="1" applyProtection="1">
      <alignment horizontal="center"/>
      <protection locked="0"/>
    </xf>
    <xf numFmtId="37" fontId="4" fillId="9" borderId="0" xfId="11" quotePrefix="1" applyFont="1" applyFill="1" applyAlignment="1">
      <alignment horizontal="left" wrapText="1"/>
    </xf>
    <xf numFmtId="0" fontId="0" fillId="9" borderId="0" xfId="0" applyFill="1"/>
    <xf numFmtId="37" fontId="4" fillId="9" borderId="0" xfId="11" applyFont="1" applyFill="1" applyAlignment="1">
      <alignment horizontal="center" vertical="center"/>
    </xf>
    <xf numFmtId="0" fontId="32" fillId="0" borderId="0" xfId="14" applyFont="1" applyFill="1" applyAlignment="1">
      <alignment horizontal="center"/>
    </xf>
    <xf numFmtId="0" fontId="32" fillId="0" borderId="0" xfId="0" applyFont="1" applyAlignment="1">
      <alignment horizontal="center"/>
    </xf>
    <xf numFmtId="0" fontId="46" fillId="0" borderId="0" xfId="14" quotePrefix="1" applyFont="1" applyFill="1" applyAlignment="1">
      <alignment horizontal="center"/>
    </xf>
    <xf numFmtId="0" fontId="46" fillId="0" borderId="0" xfId="14" applyFont="1" applyFill="1" applyAlignment="1">
      <alignment horizontal="center"/>
    </xf>
    <xf numFmtId="37" fontId="32" fillId="0" borderId="0" xfId="8" applyFont="1" applyFill="1" applyAlignment="1">
      <alignment horizontal="center"/>
    </xf>
    <xf numFmtId="37" fontId="32" fillId="0" borderId="0" xfId="11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/>
    </xf>
    <xf numFmtId="37" fontId="4" fillId="0" borderId="0" xfId="0" applyNumberFormat="1" applyFont="1" applyFill="1" applyAlignment="1">
      <alignment horizontal="center"/>
    </xf>
    <xf numFmtId="37" fontId="5" fillId="0" borderId="0" xfId="0" applyNumberFormat="1" applyFont="1" applyFill="1" applyAlignment="1">
      <alignment horizontal="center"/>
    </xf>
    <xf numFmtId="37" fontId="4" fillId="9" borderId="0" xfId="0" applyNumberFormat="1" applyFont="1" applyFill="1" applyAlignment="1">
      <alignment horizontal="center"/>
    </xf>
    <xf numFmtId="37" fontId="5" fillId="9" borderId="0" xfId="0" applyNumberFormat="1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4" fillId="9" borderId="0" xfId="0" applyFont="1" applyFill="1" applyAlignment="1" applyProtection="1">
      <alignment horizontal="center"/>
    </xf>
    <xf numFmtId="0" fontId="5" fillId="9" borderId="0" xfId="0" quotePrefix="1" applyFont="1" applyFill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/>
    </xf>
    <xf numFmtId="0" fontId="4" fillId="0" borderId="0" xfId="15" applyFont="1" applyFill="1" applyAlignment="1">
      <alignment horizontal="center"/>
    </xf>
    <xf numFmtId="37" fontId="4" fillId="0" borderId="0" xfId="15" applyNumberFormat="1" applyFont="1" applyFill="1" applyAlignment="1" applyProtection="1">
      <alignment horizontal="center"/>
    </xf>
    <xf numFmtId="37" fontId="5" fillId="0" borderId="0" xfId="15" applyNumberFormat="1" applyFont="1" applyFill="1" applyAlignment="1" applyProtection="1">
      <alignment horizontal="center"/>
      <protection locked="0"/>
    </xf>
    <xf numFmtId="37" fontId="4" fillId="0" borderId="2" xfId="15" applyNumberFormat="1" applyFont="1" applyFill="1" applyBorder="1" applyAlignment="1" applyProtection="1">
      <alignment horizontal="center"/>
    </xf>
    <xf numFmtId="37" fontId="4" fillId="0" borderId="12" xfId="15" applyNumberFormat="1" applyFont="1" applyFill="1" applyBorder="1" applyAlignment="1" applyProtection="1">
      <alignment horizontal="center"/>
    </xf>
    <xf numFmtId="37" fontId="4" fillId="0" borderId="2" xfId="15" quotePrefix="1" applyNumberFormat="1" applyFont="1" applyFill="1" applyBorder="1" applyAlignment="1" applyProtection="1">
      <alignment horizontal="center"/>
    </xf>
    <xf numFmtId="37" fontId="4" fillId="0" borderId="12" xfId="15" quotePrefix="1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1" fontId="10" fillId="9" borderId="0" xfId="7" applyNumberFormat="1" applyFont="1" applyFill="1" applyBorder="1" applyAlignment="1">
      <alignment horizontal="center" wrapText="1"/>
    </xf>
    <xf numFmtId="0" fontId="5" fillId="9" borderId="0" xfId="0" applyFont="1" applyFill="1" applyAlignment="1" applyProtection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7" fontId="4" fillId="0" borderId="0" xfId="16" applyFont="1" applyFill="1" applyAlignment="1">
      <alignment horizontal="center"/>
    </xf>
    <xf numFmtId="167" fontId="5" fillId="0" borderId="0" xfId="16" applyFont="1" applyFill="1" applyAlignment="1">
      <alignment horizontal="center"/>
    </xf>
    <xf numFmtId="167" fontId="19" fillId="0" borderId="0" xfId="16" applyFont="1" applyFill="1" applyAlignment="1">
      <alignment horizontal="left" wrapText="1"/>
    </xf>
    <xf numFmtId="167" fontId="4" fillId="0" borderId="0" xfId="17" applyFont="1" applyFill="1" applyAlignment="1">
      <alignment horizontal="center"/>
    </xf>
    <xf numFmtId="43" fontId="0" fillId="0" borderId="0" xfId="0" applyNumberFormat="1" applyAlignment="1">
      <alignment horizontal="center"/>
    </xf>
    <xf numFmtId="0" fontId="1" fillId="0" borderId="0" xfId="0" applyFont="1" applyFill="1" applyAlignment="1">
      <alignment horizontal="center"/>
    </xf>
    <xf numFmtId="167" fontId="4" fillId="0" borderId="0" xfId="16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Fill="1" applyBorder="1" applyAlignment="1">
      <alignment horizontal="center"/>
    </xf>
  </cellXfs>
  <cellStyles count="23">
    <cellStyle name="Comma" xfId="1" builtinId="3"/>
    <cellStyle name="Comma 2" xfId="22"/>
    <cellStyle name="Comma_swp02revcrsum" xfId="2"/>
    <cellStyle name="Currency" xfId="3" builtinId="4"/>
    <cellStyle name="Normal" xfId="0" builtinId="0"/>
    <cellStyle name="Normal 2" xfId="4"/>
    <cellStyle name="Normal 3" xfId="21"/>
    <cellStyle name="Normal_94WHFUEL" xfId="5"/>
    <cellStyle name="Normal_AD&amp;AE" xfId="6"/>
    <cellStyle name="Normal_ADITAnalysisID090805" xfId="7"/>
    <cellStyle name="Normal_AL_2003" xfId="8"/>
    <cellStyle name="Normal_AU Period 2 Rev 4-27-00" xfId="9"/>
    <cellStyle name="Normal_Depreciation Expense" xfId="10"/>
    <cellStyle name="Normal_EFFTAXRT" xfId="11"/>
    <cellStyle name="Normal_FN1 Ratebase Draft SPP template (6-11-04) v2" xfId="12"/>
    <cellStyle name="Normal_I&amp;M-AK-1" xfId="13"/>
    <cellStyle name="Normal_Other Taxes" xfId="14"/>
    <cellStyle name="Normal_PSTOCK" xfId="15"/>
    <cellStyle name="Normal_PURPWR" xfId="16"/>
    <cellStyle name="Normal_SALESRES_2" xfId="17"/>
    <cellStyle name="Normal_Sheet1" xfId="20"/>
    <cellStyle name="Normal_SWEPCO CWIP_2006" xfId="18"/>
    <cellStyle name="Percent" xfId="19" builtinId="5"/>
  </cellStyles>
  <dxfs count="10"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99FF99"/>
      <color rgb="FFFF9933"/>
      <color rgb="FF33CC33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21</xdr:row>
      <xdr:rowOff>19050</xdr:rowOff>
    </xdr:from>
    <xdr:to>
      <xdr:col>3</xdr:col>
      <xdr:colOff>390525</xdr:colOff>
      <xdr:row>22</xdr:row>
      <xdr:rowOff>57150</xdr:rowOff>
    </xdr:to>
    <xdr:sp macro="" textlink="">
      <xdr:nvSpPr>
        <xdr:cNvPr id="26773" name="Text Box 1"/>
        <xdr:cNvSpPr txBox="1">
          <a:spLocks noChangeArrowheads="1"/>
        </xdr:cNvSpPr>
      </xdr:nvSpPr>
      <xdr:spPr bwMode="auto">
        <a:xfrm>
          <a:off x="2981325" y="3429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imates\08%20Estimate\Monthly%20Energy%20True-Up\Monthly%20Fuel%20Update\SWEPCO%202008%20Whsl%20Fuel%20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Data"/>
      <sheetName val="Dec-08 Net for Load"/>
      <sheetName val="Nov-08 Net for Load"/>
      <sheetName val="Oct-08 Net for Load"/>
      <sheetName val="Sep-08 Net for Load"/>
      <sheetName val="Aug-08 Net for Load"/>
      <sheetName val="Jul-08 Net for Load"/>
      <sheetName val="Jun-08 Net for Load"/>
      <sheetName val="May-08 Net for Load"/>
      <sheetName val="Apr-08 Net for Load"/>
      <sheetName val="Mar-08 Net for Load"/>
      <sheetName val="Feb-08 Net for Load"/>
      <sheetName val="Jan-08 Net for Load"/>
      <sheetName val="2008 Acct 501_547 Pivot"/>
      <sheetName val="2008 Mine Closing"/>
      <sheetName val="2008 Acct 501_547 Detail"/>
      <sheetName val="2008 Acct 555 Pivot"/>
      <sheetName val="2008 Acct 555 Detail"/>
      <sheetName val="2008 Acct 447 Pivot"/>
      <sheetName val="2008 Acct 447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>
            <v>5010000</v>
          </cell>
          <cell r="B5">
            <v>511906.56800000014</v>
          </cell>
          <cell r="C5">
            <v>444275.12</v>
          </cell>
          <cell r="D5">
            <v>553868.43000000005</v>
          </cell>
          <cell r="E5">
            <v>405797.94700000022</v>
          </cell>
          <cell r="F5">
            <v>416486.99300000002</v>
          </cell>
          <cell r="G5">
            <v>262473.93</v>
          </cell>
          <cell r="H5">
            <v>316149.81</v>
          </cell>
          <cell r="I5">
            <v>425444.64</v>
          </cell>
          <cell r="J5">
            <v>332382.67</v>
          </cell>
          <cell r="K5">
            <v>382799.56</v>
          </cell>
          <cell r="L5">
            <v>331159.5</v>
          </cell>
          <cell r="M5">
            <v>268787.19</v>
          </cell>
        </row>
        <row r="6">
          <cell r="A6">
            <v>5010001</v>
          </cell>
          <cell r="B6">
            <v>25931814.23</v>
          </cell>
          <cell r="C6">
            <v>18907768.57</v>
          </cell>
          <cell r="D6">
            <v>19553396.489999995</v>
          </cell>
          <cell r="E6">
            <v>18618176.289999999</v>
          </cell>
          <cell r="F6">
            <v>24121867.93</v>
          </cell>
          <cell r="G6">
            <v>17674201.989999998</v>
          </cell>
          <cell r="H6">
            <v>26007034.659999996</v>
          </cell>
          <cell r="I6">
            <v>27618242.359999999</v>
          </cell>
          <cell r="J6">
            <v>25424722.75</v>
          </cell>
          <cell r="K6">
            <v>21149744.479999997</v>
          </cell>
          <cell r="L6">
            <v>18377639.619999997</v>
          </cell>
          <cell r="M6">
            <v>26864618.809999999</v>
          </cell>
        </row>
        <row r="7">
          <cell r="A7">
            <v>5010003</v>
          </cell>
          <cell r="B7">
            <v>439152.01</v>
          </cell>
          <cell r="C7">
            <v>416044.22</v>
          </cell>
          <cell r="D7">
            <v>352874.69</v>
          </cell>
          <cell r="E7">
            <v>450066.79</v>
          </cell>
          <cell r="F7">
            <v>533929.88</v>
          </cell>
          <cell r="G7">
            <v>430519.28</v>
          </cell>
          <cell r="H7">
            <v>516658.98</v>
          </cell>
          <cell r="I7">
            <v>593755.69999999995</v>
          </cell>
          <cell r="J7">
            <v>492324.68</v>
          </cell>
          <cell r="K7">
            <v>401818.14</v>
          </cell>
          <cell r="L7">
            <v>389322.91</v>
          </cell>
          <cell r="M7">
            <v>554200.68000000005</v>
          </cell>
        </row>
        <row r="8">
          <cell r="A8">
            <v>5010012</v>
          </cell>
          <cell r="B8">
            <v>-373112.47</v>
          </cell>
          <cell r="C8">
            <v>-18596.07</v>
          </cell>
          <cell r="D8">
            <v>-162530.63</v>
          </cell>
          <cell r="E8">
            <v>-379218.01400000002</v>
          </cell>
          <cell r="F8">
            <v>-204427.41200000001</v>
          </cell>
          <cell r="G8">
            <v>-284362.40900000004</v>
          </cell>
          <cell r="H8">
            <v>-221518.17</v>
          </cell>
          <cell r="I8">
            <v>14367.4</v>
          </cell>
          <cell r="J8">
            <v>-504357.37</v>
          </cell>
          <cell r="K8">
            <v>57840</v>
          </cell>
          <cell r="L8">
            <v>197177.58</v>
          </cell>
          <cell r="M8">
            <v>-338473.51</v>
          </cell>
        </row>
        <row r="9">
          <cell r="A9">
            <v>5010013</v>
          </cell>
          <cell r="B9">
            <v>204730.39</v>
          </cell>
          <cell r="C9">
            <v>204530.74</v>
          </cell>
          <cell r="D9">
            <v>254222.7</v>
          </cell>
          <cell r="E9">
            <v>125556.12</v>
          </cell>
          <cell r="F9">
            <v>-627083.37</v>
          </cell>
          <cell r="G9">
            <v>-897567.82</v>
          </cell>
          <cell r="H9">
            <v>-847079.74</v>
          </cell>
          <cell r="I9">
            <v>-887863.54</v>
          </cell>
          <cell r="J9">
            <v>-740506.81</v>
          </cell>
          <cell r="K9">
            <v>-840499.99</v>
          </cell>
          <cell r="L9">
            <v>-121138.45</v>
          </cell>
          <cell r="M9">
            <v>-32623.96</v>
          </cell>
        </row>
        <row r="10">
          <cell r="A10">
            <v>5010018</v>
          </cell>
          <cell r="B10">
            <v>12772937.289999999</v>
          </cell>
          <cell r="C10">
            <v>12828109.559999999</v>
          </cell>
          <cell r="D10">
            <v>6367225.3199999994</v>
          </cell>
          <cell r="E10">
            <v>7746232.6299999999</v>
          </cell>
          <cell r="F10">
            <v>11615398.789999999</v>
          </cell>
          <cell r="G10">
            <v>12301817.42</v>
          </cell>
          <cell r="H10">
            <v>13155284.02</v>
          </cell>
          <cell r="I10">
            <v>14612314.41</v>
          </cell>
          <cell r="J10">
            <v>13387699.789999999</v>
          </cell>
          <cell r="K10">
            <v>13765930.01</v>
          </cell>
          <cell r="L10">
            <v>17333854.32</v>
          </cell>
          <cell r="M10">
            <v>18319540.579999998</v>
          </cell>
        </row>
        <row r="11">
          <cell r="A11">
            <v>5010019</v>
          </cell>
          <cell r="B11">
            <v>186773.83</v>
          </cell>
          <cell r="C11">
            <v>194350.58</v>
          </cell>
          <cell r="D11">
            <v>89604.3</v>
          </cell>
          <cell r="E11">
            <v>432730.65</v>
          </cell>
          <cell r="F11">
            <v>209299.16</v>
          </cell>
          <cell r="G11">
            <v>68629.14</v>
          </cell>
          <cell r="H11">
            <v>439170.17</v>
          </cell>
          <cell r="I11">
            <v>18044.259999999998</v>
          </cell>
          <cell r="J11">
            <v>204846.31</v>
          </cell>
          <cell r="K11">
            <v>313943.19</v>
          </cell>
          <cell r="L11">
            <v>360967.54</v>
          </cell>
          <cell r="M11">
            <v>26704.97</v>
          </cell>
        </row>
        <row r="12">
          <cell r="A12">
            <v>5010020</v>
          </cell>
          <cell r="B12">
            <v>7683048.8900000006</v>
          </cell>
          <cell r="C12">
            <v>10022300.719999997</v>
          </cell>
          <cell r="D12">
            <v>11612389.029999999</v>
          </cell>
          <cell r="E12">
            <v>10926476.610000001</v>
          </cell>
          <cell r="F12">
            <v>19419290.540000003</v>
          </cell>
          <cell r="G12">
            <v>35174480.130000003</v>
          </cell>
          <cell r="H12">
            <v>37624393.310000002</v>
          </cell>
          <cell r="I12">
            <v>21596059.949999999</v>
          </cell>
          <cell r="J12">
            <v>7753298.21</v>
          </cell>
          <cell r="K12">
            <v>6900769.5099999998</v>
          </cell>
          <cell r="L12">
            <v>5923661.4100000001</v>
          </cell>
          <cell r="M12">
            <v>1906111.48</v>
          </cell>
        </row>
        <row r="13">
          <cell r="A13">
            <v>5470001</v>
          </cell>
          <cell r="B13">
            <v>397927</v>
          </cell>
          <cell r="C13">
            <v>1467132.18</v>
          </cell>
          <cell r="D13">
            <v>2184496.88</v>
          </cell>
          <cell r="E13">
            <v>429264.3</v>
          </cell>
          <cell r="F13">
            <v>1005336.28</v>
          </cell>
          <cell r="G13">
            <v>1471471.59</v>
          </cell>
          <cell r="H13">
            <v>1114165.04</v>
          </cell>
          <cell r="I13">
            <v>1167418.6200000001</v>
          </cell>
          <cell r="J13">
            <v>178592.79</v>
          </cell>
          <cell r="K13">
            <v>138406.99</v>
          </cell>
          <cell r="L13">
            <v>454056.74</v>
          </cell>
          <cell r="M13">
            <v>298846.42</v>
          </cell>
        </row>
      </sheetData>
      <sheetData sheetId="14"/>
      <sheetData sheetId="15"/>
      <sheetData sheetId="16">
        <row r="5">
          <cell r="A5">
            <v>5550001</v>
          </cell>
          <cell r="B5">
            <v>8926399.3700000029</v>
          </cell>
          <cell r="C5">
            <v>7381907.870000001</v>
          </cell>
          <cell r="D5">
            <v>14951569.649999995</v>
          </cell>
          <cell r="E5">
            <v>10241076.070000004</v>
          </cell>
          <cell r="F5">
            <v>6648869.2800000021</v>
          </cell>
          <cell r="G5">
            <v>25493561</v>
          </cell>
          <cell r="H5">
            <v>22674901.569999997</v>
          </cell>
          <cell r="I5">
            <v>11175036.680000002</v>
          </cell>
          <cell r="J5">
            <v>3432083.23</v>
          </cell>
          <cell r="K5">
            <v>4356151.58</v>
          </cell>
          <cell r="L5">
            <v>2429001.48</v>
          </cell>
          <cell r="M5">
            <v>4144627.2850000011</v>
          </cell>
        </row>
        <row r="6">
          <cell r="A6">
            <v>5550002</v>
          </cell>
          <cell r="B6">
            <v>2015399.6</v>
          </cell>
          <cell r="C6">
            <v>2057579.68</v>
          </cell>
          <cell r="D6">
            <v>3786176.36</v>
          </cell>
          <cell r="E6">
            <v>3540324.67</v>
          </cell>
          <cell r="F6">
            <v>3293017.43</v>
          </cell>
          <cell r="G6">
            <v>4717801.83</v>
          </cell>
          <cell r="H6">
            <v>3395431.13</v>
          </cell>
          <cell r="I6">
            <v>1464081.48</v>
          </cell>
          <cell r="J6">
            <v>427007.51</v>
          </cell>
          <cell r="K6">
            <v>241958.26</v>
          </cell>
          <cell r="L6">
            <v>15860.84</v>
          </cell>
          <cell r="M6">
            <v>378323.68</v>
          </cell>
        </row>
        <row r="7">
          <cell r="A7">
            <v>5550003</v>
          </cell>
          <cell r="B7">
            <v>48423.29</v>
          </cell>
          <cell r="C7">
            <v>110476.19</v>
          </cell>
          <cell r="D7">
            <v>110621.67</v>
          </cell>
          <cell r="E7">
            <v>144706.81</v>
          </cell>
          <cell r="F7">
            <v>132049.49</v>
          </cell>
          <cell r="G7">
            <v>144296.84</v>
          </cell>
          <cell r="I7">
            <v>301672.07</v>
          </cell>
          <cell r="J7">
            <v>145410.07</v>
          </cell>
          <cell r="K7">
            <v>141618.56</v>
          </cell>
          <cell r="L7">
            <v>121249.22</v>
          </cell>
          <cell r="M7">
            <v>175968.96</v>
          </cell>
        </row>
        <row r="8">
          <cell r="A8">
            <v>5550005</v>
          </cell>
          <cell r="B8">
            <v>2091721.08</v>
          </cell>
          <cell r="C8">
            <v>1505424.63</v>
          </cell>
          <cell r="D8">
            <v>8984084.1900000013</v>
          </cell>
          <cell r="E8">
            <v>8491641.7200000007</v>
          </cell>
          <cell r="F8">
            <v>7288073.71</v>
          </cell>
          <cell r="G8">
            <v>21705396.690000005</v>
          </cell>
          <cell r="H8">
            <v>15684225.630000001</v>
          </cell>
          <cell r="I8">
            <v>11757242.33</v>
          </cell>
          <cell r="J8">
            <v>3442228.16</v>
          </cell>
          <cell r="K8">
            <v>3911169.83</v>
          </cell>
          <cell r="L8">
            <v>5194820.17</v>
          </cell>
          <cell r="M8">
            <v>488564.97</v>
          </cell>
        </row>
        <row r="9">
          <cell r="A9">
            <v>5550023</v>
          </cell>
          <cell r="B9">
            <v>1097788.1499999999</v>
          </cell>
          <cell r="C9">
            <v>1233552.54</v>
          </cell>
          <cell r="D9">
            <v>1059775</v>
          </cell>
          <cell r="E9">
            <v>1059775</v>
          </cell>
          <cell r="F9">
            <v>1059775</v>
          </cell>
          <cell r="G9">
            <v>1053471.71</v>
          </cell>
          <cell r="H9">
            <v>1059775</v>
          </cell>
          <cell r="I9">
            <v>1059775</v>
          </cell>
          <cell r="J9">
            <v>1059775</v>
          </cell>
          <cell r="K9">
            <v>1059775</v>
          </cell>
          <cell r="L9">
            <v>1059775</v>
          </cell>
          <cell r="M9">
            <v>1059775</v>
          </cell>
        </row>
        <row r="10">
          <cell r="A10">
            <v>5550026</v>
          </cell>
          <cell r="B10">
            <v>67381.320000000007</v>
          </cell>
          <cell r="C10">
            <v>69955.53</v>
          </cell>
          <cell r="D10">
            <v>3774.29</v>
          </cell>
          <cell r="E10">
            <v>-0.2</v>
          </cell>
          <cell r="F10">
            <v>-0.2</v>
          </cell>
        </row>
        <row r="11">
          <cell r="A11">
            <v>5550029</v>
          </cell>
          <cell r="B11">
            <v>0</v>
          </cell>
          <cell r="C11">
            <v>-1.4901161193847656E-8</v>
          </cell>
          <cell r="D11">
            <v>0</v>
          </cell>
          <cell r="E11">
            <v>2.9802322387695313E-8</v>
          </cell>
          <cell r="F11">
            <v>0</v>
          </cell>
          <cell r="G11">
            <v>-5.9604644775390625E-8</v>
          </cell>
          <cell r="H11">
            <v>5.9604644775390625E-8</v>
          </cell>
          <cell r="I11">
            <v>5.9604644775390625E-8</v>
          </cell>
          <cell r="J11">
            <v>0</v>
          </cell>
          <cell r="K11">
            <v>0</v>
          </cell>
          <cell r="L11">
            <v>1.1920928955078125E-7</v>
          </cell>
          <cell r="M11">
            <v>-1.1920928955078125E-7</v>
          </cell>
        </row>
        <row r="12">
          <cell r="A12">
            <v>5550047</v>
          </cell>
          <cell r="B12">
            <v>243103.35999999999</v>
          </cell>
          <cell r="C12">
            <v>253411.06</v>
          </cell>
        </row>
        <row r="13">
          <cell r="A13">
            <v>5550053</v>
          </cell>
          <cell r="B13">
            <v>832.18</v>
          </cell>
          <cell r="C13">
            <v>6681.46</v>
          </cell>
          <cell r="D13">
            <v>28817.95</v>
          </cell>
          <cell r="E13">
            <v>25157.03</v>
          </cell>
          <cell r="F13">
            <v>1882.67</v>
          </cell>
          <cell r="G13">
            <v>1.1200000000000001</v>
          </cell>
          <cell r="H13">
            <v>1112.31</v>
          </cell>
          <cell r="I13">
            <v>170.07</v>
          </cell>
          <cell r="J13">
            <v>1495.33</v>
          </cell>
          <cell r="K13">
            <v>30.99</v>
          </cell>
          <cell r="L13">
            <v>71.650000000000006</v>
          </cell>
          <cell r="M13">
            <v>3176.38</v>
          </cell>
        </row>
        <row r="14">
          <cell r="A14">
            <v>5550054</v>
          </cell>
          <cell r="B14">
            <v>-1205.5999999999999</v>
          </cell>
          <cell r="C14">
            <v>4128.16</v>
          </cell>
          <cell r="D14">
            <v>26325.84</v>
          </cell>
          <cell r="E14">
            <v>13557.05</v>
          </cell>
          <cell r="F14">
            <v>4211.32</v>
          </cell>
          <cell r="G14">
            <v>16.22</v>
          </cell>
          <cell r="H14">
            <v>128.13999999999999</v>
          </cell>
          <cell r="I14">
            <v>10.96</v>
          </cell>
          <cell r="J14">
            <v>545.61</v>
          </cell>
          <cell r="K14">
            <v>29.15</v>
          </cell>
          <cell r="L14">
            <v>-18.93</v>
          </cell>
          <cell r="M14">
            <v>226.83</v>
          </cell>
        </row>
        <row r="15">
          <cell r="A15">
            <v>5550055</v>
          </cell>
          <cell r="B15">
            <v>-6285.5</v>
          </cell>
          <cell r="C15">
            <v>-407341.2</v>
          </cell>
          <cell r="D15">
            <v>-123169.92</v>
          </cell>
          <cell r="E15">
            <v>-118280.26</v>
          </cell>
          <cell r="F15">
            <v>-28125.34</v>
          </cell>
          <cell r="G15">
            <v>-14582.67</v>
          </cell>
          <cell r="H15">
            <v>-986.1</v>
          </cell>
          <cell r="I15">
            <v>930.53</v>
          </cell>
          <cell r="J15">
            <v>-16135.21</v>
          </cell>
          <cell r="K15">
            <v>8197.02</v>
          </cell>
          <cell r="L15">
            <v>-39290.32</v>
          </cell>
          <cell r="M15">
            <v>-15269.73</v>
          </cell>
        </row>
        <row r="16">
          <cell r="A16">
            <v>5550059</v>
          </cell>
          <cell r="B16">
            <v>16194.5</v>
          </cell>
          <cell r="C16">
            <v>5192.1400000000003</v>
          </cell>
          <cell r="D16">
            <v>1928.75</v>
          </cell>
          <cell r="E16">
            <v>586.09</v>
          </cell>
          <cell r="F16">
            <v>17714.48</v>
          </cell>
          <cell r="G16">
            <v>56672.65</v>
          </cell>
          <cell r="H16">
            <v>34004.75</v>
          </cell>
          <cell r="I16">
            <v>-3929.03</v>
          </cell>
          <cell r="J16">
            <v>53030.99</v>
          </cell>
          <cell r="K16">
            <v>38074.089999999997</v>
          </cell>
          <cell r="L16">
            <v>41627.11</v>
          </cell>
          <cell r="M16">
            <v>22978.69</v>
          </cell>
        </row>
        <row r="17">
          <cell r="A17">
            <v>5550064</v>
          </cell>
          <cell r="B17">
            <v>-1450915.2</v>
          </cell>
          <cell r="C17">
            <v>-3510.26</v>
          </cell>
          <cell r="D17">
            <v>-4562.01</v>
          </cell>
          <cell r="E17">
            <v>-3107.97</v>
          </cell>
          <cell r="F17">
            <v>0</v>
          </cell>
        </row>
        <row r="18">
          <cell r="A18">
            <v>5550065</v>
          </cell>
          <cell r="B18">
            <v>18632.91</v>
          </cell>
          <cell r="C18">
            <v>35374.65</v>
          </cell>
          <cell r="D18">
            <v>39947.199999999997</v>
          </cell>
          <cell r="E18">
            <v>233050.63</v>
          </cell>
          <cell r="F18">
            <v>-172394.11</v>
          </cell>
          <cell r="G18">
            <v>62501.7</v>
          </cell>
          <cell r="H18">
            <v>105261.49</v>
          </cell>
          <cell r="I18">
            <v>63159.63</v>
          </cell>
          <cell r="J18">
            <v>24592.9</v>
          </cell>
          <cell r="K18">
            <v>27154.82</v>
          </cell>
          <cell r="L18">
            <v>28442.65</v>
          </cell>
          <cell r="M18">
            <v>6264.62</v>
          </cell>
        </row>
        <row r="19">
          <cell r="A19">
            <v>5550066</v>
          </cell>
          <cell r="B19">
            <v>76487.17</v>
          </cell>
          <cell r="C19">
            <v>110987.83</v>
          </cell>
          <cell r="D19">
            <v>77257.240000000005</v>
          </cell>
          <cell r="E19">
            <v>77416.97</v>
          </cell>
          <cell r="F19">
            <v>203939.18</v>
          </cell>
          <cell r="G19">
            <v>391021.61</v>
          </cell>
          <cell r="H19">
            <v>821217.44</v>
          </cell>
          <cell r="I19">
            <v>319182</v>
          </cell>
          <cell r="J19">
            <v>275410.2</v>
          </cell>
          <cell r="K19">
            <v>287268.71999999997</v>
          </cell>
          <cell r="L19">
            <v>605933.87</v>
          </cell>
          <cell r="M19">
            <v>156156.92000000001</v>
          </cell>
        </row>
        <row r="20">
          <cell r="A20">
            <v>5550067</v>
          </cell>
          <cell r="B20">
            <v>472004.11</v>
          </cell>
          <cell r="C20">
            <v>344490.51</v>
          </cell>
          <cell r="D20">
            <v>428686.06</v>
          </cell>
          <cell r="E20">
            <v>400122.98</v>
          </cell>
          <cell r="F20">
            <v>964359.83</v>
          </cell>
          <cell r="G20">
            <v>670684.76</v>
          </cell>
          <cell r="H20">
            <v>1461428.01</v>
          </cell>
          <cell r="I20">
            <v>873353.61</v>
          </cell>
          <cell r="J20">
            <v>350407.57</v>
          </cell>
          <cell r="K20">
            <v>191073.46</v>
          </cell>
          <cell r="L20">
            <v>285537.43</v>
          </cell>
          <cell r="M20">
            <v>231017.1</v>
          </cell>
        </row>
        <row r="21">
          <cell r="A21">
            <v>5550068</v>
          </cell>
          <cell r="B21">
            <v>2075667.11</v>
          </cell>
          <cell r="C21">
            <v>1689224.91</v>
          </cell>
          <cell r="D21">
            <v>1249784.73</v>
          </cell>
          <cell r="E21">
            <v>752737.18</v>
          </cell>
          <cell r="F21">
            <v>1455840.58</v>
          </cell>
          <cell r="G21">
            <v>3405710.24</v>
          </cell>
          <cell r="H21">
            <v>2474139.5099999998</v>
          </cell>
          <cell r="I21">
            <v>1106421.75</v>
          </cell>
          <cell r="J21">
            <v>1595074.43</v>
          </cell>
          <cell r="K21">
            <v>847042.24</v>
          </cell>
          <cell r="L21">
            <v>857158.17</v>
          </cell>
          <cell r="M21">
            <v>1239079.1499999999</v>
          </cell>
        </row>
        <row r="22">
          <cell r="A22">
            <v>5550092</v>
          </cell>
          <cell r="F22">
            <v>2895120.23</v>
          </cell>
        </row>
      </sheetData>
      <sheetData sheetId="17"/>
      <sheetData sheetId="18">
        <row r="5">
          <cell r="A5">
            <v>4470001</v>
          </cell>
          <cell r="B5">
            <v>-1784895.4</v>
          </cell>
          <cell r="C5">
            <v>-1144017.3799999999</v>
          </cell>
          <cell r="D5">
            <v>-901932.2</v>
          </cell>
          <cell r="E5">
            <v>-1648940.29</v>
          </cell>
          <cell r="F5">
            <v>-3987956.27</v>
          </cell>
          <cell r="G5">
            <v>-794104.27</v>
          </cell>
          <cell r="H5">
            <v>-2034361.22</v>
          </cell>
          <cell r="I5">
            <v>-996477.72</v>
          </cell>
          <cell r="J5">
            <v>-826751.8</v>
          </cell>
          <cell r="K5">
            <v>-316378.63</v>
          </cell>
          <cell r="L5">
            <v>-305306.93</v>
          </cell>
          <cell r="M5">
            <v>-638104.12</v>
          </cell>
        </row>
        <row r="6">
          <cell r="A6">
            <v>4470002</v>
          </cell>
          <cell r="B6">
            <v>-522679.73</v>
          </cell>
          <cell r="C6">
            <v>-295268.39</v>
          </cell>
          <cell r="D6">
            <v>-286840.78999999998</v>
          </cell>
          <cell r="E6">
            <v>-490213.54</v>
          </cell>
          <cell r="F6">
            <v>-941728.06</v>
          </cell>
          <cell r="G6">
            <v>-2339408.92</v>
          </cell>
          <cell r="H6">
            <v>-1353162.87</v>
          </cell>
          <cell r="I6">
            <v>-2109928.9300000002</v>
          </cell>
          <cell r="J6">
            <v>-625961.6</v>
          </cell>
          <cell r="K6">
            <v>-1547419.95</v>
          </cell>
          <cell r="L6">
            <v>-1405201.03</v>
          </cell>
          <cell r="M6">
            <v>-1876429.71</v>
          </cell>
        </row>
        <row r="7">
          <cell r="A7">
            <v>4470006</v>
          </cell>
          <cell r="B7">
            <v>-61445616.419999994</v>
          </cell>
          <cell r="C7">
            <v>-51808460.100000001</v>
          </cell>
          <cell r="D7">
            <v>-48603021.960000001</v>
          </cell>
          <cell r="E7">
            <v>-48918765.100000001</v>
          </cell>
          <cell r="F7">
            <v>-47336464.840000004</v>
          </cell>
          <cell r="G7">
            <v>-44467654.470000006</v>
          </cell>
          <cell r="H7">
            <v>-63470873.560000002</v>
          </cell>
          <cell r="I7">
            <v>-60856509.069999993</v>
          </cell>
          <cell r="J7">
            <v>-49326173.340000004</v>
          </cell>
          <cell r="K7">
            <v>-55422629.149999991</v>
          </cell>
          <cell r="L7">
            <v>-44773425.050000004</v>
          </cell>
          <cell r="M7">
            <v>-49478065.600000009</v>
          </cell>
        </row>
        <row r="8">
          <cell r="A8">
            <v>4470010</v>
          </cell>
          <cell r="B8">
            <v>62338002.909999996</v>
          </cell>
          <cell r="C8">
            <v>52993829.449999996</v>
          </cell>
          <cell r="D8">
            <v>49422333.449999996</v>
          </cell>
          <cell r="E8">
            <v>49797625.659999996</v>
          </cell>
          <cell r="F8">
            <v>47884574.299999997</v>
          </cell>
          <cell r="G8">
            <v>45120951.730000004</v>
          </cell>
          <cell r="H8">
            <v>61794110.860000007</v>
          </cell>
          <cell r="I8">
            <v>59725419.5</v>
          </cell>
          <cell r="J8">
            <v>49807205.829999991</v>
          </cell>
          <cell r="K8">
            <v>56128438.81000001</v>
          </cell>
          <cell r="L8">
            <v>45227069.520000003</v>
          </cell>
          <cell r="M8">
            <v>50252524.879999995</v>
          </cell>
        </row>
        <row r="9">
          <cell r="A9">
            <v>4470011</v>
          </cell>
          <cell r="B9">
            <v>148970.51999999999</v>
          </cell>
          <cell r="C9">
            <v>139359.51999999999</v>
          </cell>
          <cell r="D9">
            <v>148970.51999999999</v>
          </cell>
          <cell r="E9">
            <v>144165.01999999999</v>
          </cell>
          <cell r="F9">
            <v>148970.51999999999</v>
          </cell>
        </row>
        <row r="10">
          <cell r="A10">
            <v>4470027</v>
          </cell>
          <cell r="B10">
            <v>-13414361.560000001</v>
          </cell>
          <cell r="C10">
            <v>-11988031.650000002</v>
          </cell>
          <cell r="D10">
            <v>-12253370.869999999</v>
          </cell>
          <cell r="E10">
            <v>-8433415.0199999996</v>
          </cell>
          <cell r="F10">
            <v>-10404898.810000001</v>
          </cell>
          <cell r="G10">
            <v>-17096486.970000006</v>
          </cell>
          <cell r="H10">
            <v>-27190362.550000001</v>
          </cell>
          <cell r="I10">
            <v>-20795105.93</v>
          </cell>
          <cell r="J10">
            <v>-10386854.76</v>
          </cell>
          <cell r="K10">
            <v>-7506721.1800000006</v>
          </cell>
          <cell r="L10">
            <v>-8725612.8499999978</v>
          </cell>
          <cell r="M10">
            <v>-14577331.640000001</v>
          </cell>
        </row>
        <row r="11">
          <cell r="A11">
            <v>4470028</v>
          </cell>
          <cell r="B11">
            <v>-4494.4900000001944</v>
          </cell>
          <cell r="C11">
            <v>-141152.84</v>
          </cell>
          <cell r="D11">
            <v>-28951.939999999708</v>
          </cell>
          <cell r="E11">
            <v>-355550.15</v>
          </cell>
          <cell r="F11">
            <v>-1083932.54</v>
          </cell>
          <cell r="G11">
            <v>-1941563.07</v>
          </cell>
          <cell r="H11">
            <v>-3001826.7</v>
          </cell>
          <cell r="I11">
            <v>53157.430000000153</v>
          </cell>
          <cell r="J11">
            <v>-699944.14</v>
          </cell>
          <cell r="K11">
            <v>-860088.39</v>
          </cell>
          <cell r="L11">
            <v>-1484461.1</v>
          </cell>
          <cell r="M11">
            <v>1111410.93</v>
          </cell>
        </row>
        <row r="12">
          <cell r="A12">
            <v>4470030</v>
          </cell>
          <cell r="B12">
            <v>-13576.57</v>
          </cell>
          <cell r="C12">
            <v>-3263.85</v>
          </cell>
          <cell r="D12">
            <v>-13425.07</v>
          </cell>
          <cell r="F12">
            <v>0.25</v>
          </cell>
          <cell r="G12">
            <v>0.01</v>
          </cell>
          <cell r="I12">
            <v>-10.37</v>
          </cell>
          <cell r="K12">
            <v>-0.38</v>
          </cell>
          <cell r="M12">
            <v>-30.75</v>
          </cell>
        </row>
        <row r="13">
          <cell r="A13">
            <v>4470033</v>
          </cell>
          <cell r="B13">
            <v>-4872016.38</v>
          </cell>
          <cell r="C13">
            <v>-4571585</v>
          </cell>
          <cell r="D13">
            <v>-5400207.0399999935</v>
          </cell>
          <cell r="E13">
            <v>-4635522.88</v>
          </cell>
          <cell r="F13">
            <v>-5229133.8099999996</v>
          </cell>
          <cell r="G13">
            <v>-5065601.8</v>
          </cell>
          <cell r="H13">
            <v>-5005711.8499999996</v>
          </cell>
          <cell r="I13">
            <v>-4729686.75</v>
          </cell>
          <cell r="J13">
            <v>-4342403.41</v>
          </cell>
          <cell r="K13">
            <v>-4742586.91</v>
          </cell>
          <cell r="L13">
            <v>-4828010.04</v>
          </cell>
          <cell r="M13">
            <v>-5707133.4599999962</v>
          </cell>
        </row>
        <row r="14">
          <cell r="A14">
            <v>4470035</v>
          </cell>
          <cell r="B14">
            <v>-2267285.5699999998</v>
          </cell>
          <cell r="C14">
            <v>-3499050.87</v>
          </cell>
          <cell r="D14">
            <v>-961850.74</v>
          </cell>
          <cell r="E14">
            <v>-1284956.05</v>
          </cell>
          <cell r="F14">
            <v>-2894763.8</v>
          </cell>
          <cell r="G14">
            <v>-684885.31</v>
          </cell>
          <cell r="H14">
            <v>-2356035.79</v>
          </cell>
          <cell r="I14">
            <v>-1259834.29</v>
          </cell>
          <cell r="J14">
            <v>-1628807.98</v>
          </cell>
          <cell r="K14">
            <v>-1107152.55</v>
          </cell>
          <cell r="L14">
            <v>-1195563.4099999999</v>
          </cell>
          <cell r="M14">
            <v>-2411598.56</v>
          </cell>
        </row>
        <row r="15">
          <cell r="A15">
            <v>4470036</v>
          </cell>
          <cell r="B15">
            <v>-310499.83</v>
          </cell>
          <cell r="C15">
            <v>-310141.40000000002</v>
          </cell>
          <cell r="D15">
            <v>1837.43</v>
          </cell>
          <cell r="E15">
            <v>0.16</v>
          </cell>
          <cell r="F15">
            <v>0.21</v>
          </cell>
        </row>
        <row r="16">
          <cell r="A16">
            <v>4470074</v>
          </cell>
          <cell r="B16">
            <v>-7.4505805969238281E-9</v>
          </cell>
          <cell r="C16">
            <v>2.9802322387695313E-8</v>
          </cell>
          <cell r="D16">
            <v>-7.4505805969238281E-9</v>
          </cell>
          <cell r="E16">
            <v>-1.4901161193847656E-8</v>
          </cell>
          <cell r="F16">
            <v>-1.4901161193847656E-8</v>
          </cell>
          <cell r="G16">
            <v>-8.9406967163085938E-8</v>
          </cell>
          <cell r="H16">
            <v>2.9802322387695313E-8</v>
          </cell>
          <cell r="I16">
            <v>5.9604644775390625E-8</v>
          </cell>
          <cell r="J16">
            <v>2.9802322387695313E-8</v>
          </cell>
          <cell r="K16">
            <v>1.7881393432617188E-7</v>
          </cell>
          <cell r="L16">
            <v>-1.1920928955078125E-7</v>
          </cell>
          <cell r="M16">
            <v>2.384185791015625E-7</v>
          </cell>
        </row>
        <row r="17">
          <cell r="A17">
            <v>4470081</v>
          </cell>
          <cell r="B17">
            <v>-1550882.36</v>
          </cell>
          <cell r="C17">
            <v>374748.15999999997</v>
          </cell>
          <cell r="D17">
            <v>-63534.02</v>
          </cell>
          <cell r="E17">
            <v>1002879.36</v>
          </cell>
          <cell r="F17">
            <v>-1426119.47</v>
          </cell>
          <cell r="G17">
            <v>-2783967.07</v>
          </cell>
          <cell r="H17">
            <v>-1255820.53</v>
          </cell>
          <cell r="I17">
            <v>-365640.7</v>
          </cell>
          <cell r="J17">
            <v>-422699.88</v>
          </cell>
          <cell r="K17">
            <v>-70648.73</v>
          </cell>
          <cell r="L17">
            <v>108398.35</v>
          </cell>
          <cell r="M17">
            <v>-642797.85</v>
          </cell>
        </row>
        <row r="18">
          <cell r="A18">
            <v>4470133</v>
          </cell>
          <cell r="B18">
            <v>70022.720000000001</v>
          </cell>
          <cell r="C18">
            <v>-1235.33</v>
          </cell>
          <cell r="D18">
            <v>135935.45000000001</v>
          </cell>
          <cell r="E18">
            <v>88937.53</v>
          </cell>
          <cell r="F18">
            <v>178345.84</v>
          </cell>
          <cell r="G18">
            <v>-7892.29</v>
          </cell>
          <cell r="H18">
            <v>-55670.74</v>
          </cell>
          <cell r="I18">
            <v>1096.67</v>
          </cell>
          <cell r="J18">
            <v>49429.79</v>
          </cell>
          <cell r="K18">
            <v>87603.35</v>
          </cell>
          <cell r="L18">
            <v>65293.72</v>
          </cell>
          <cell r="M18">
            <v>74360.850000000006</v>
          </cell>
        </row>
        <row r="19">
          <cell r="A19">
            <v>4470135</v>
          </cell>
          <cell r="B19">
            <v>-1120605.92</v>
          </cell>
          <cell r="C19">
            <v>-921914.9</v>
          </cell>
          <cell r="D19">
            <v>-1625798.25</v>
          </cell>
          <cell r="E19">
            <v>-1664529</v>
          </cell>
          <cell r="F19">
            <v>-2176145.2599999998</v>
          </cell>
          <cell r="G19">
            <v>-1739141.64</v>
          </cell>
          <cell r="H19">
            <v>-1734431.09</v>
          </cell>
          <cell r="I19">
            <v>-1780652.36</v>
          </cell>
          <cell r="J19">
            <v>-1048891.25</v>
          </cell>
          <cell r="K19">
            <v>-826520.21</v>
          </cell>
          <cell r="L19">
            <v>-792332.41</v>
          </cell>
          <cell r="M19">
            <v>-626419.47</v>
          </cell>
        </row>
        <row r="20">
          <cell r="A20">
            <v>4470136</v>
          </cell>
          <cell r="B20">
            <v>-312909.28999999998</v>
          </cell>
          <cell r="C20">
            <v>-235525.55</v>
          </cell>
          <cell r="D20">
            <v>-591188.54</v>
          </cell>
          <cell r="E20">
            <v>-776769.53</v>
          </cell>
          <cell r="F20">
            <v>-534628.64</v>
          </cell>
          <cell r="G20">
            <v>-552225.07999999996</v>
          </cell>
          <cell r="H20">
            <v>-361090.41</v>
          </cell>
          <cell r="I20">
            <v>-460328.06</v>
          </cell>
          <cell r="J20">
            <v>-196062.04</v>
          </cell>
          <cell r="K20">
            <v>-168414.19</v>
          </cell>
          <cell r="L20">
            <v>-109993.86</v>
          </cell>
          <cell r="M20">
            <v>-174188.93</v>
          </cell>
        </row>
        <row r="21">
          <cell r="A21">
            <v>4470139</v>
          </cell>
          <cell r="B21">
            <v>691086.76</v>
          </cell>
          <cell r="C21">
            <v>1432.03</v>
          </cell>
          <cell r="D21">
            <v>374.45</v>
          </cell>
          <cell r="E21">
            <v>1129.55</v>
          </cell>
        </row>
        <row r="22">
          <cell r="A22">
            <v>4470142</v>
          </cell>
          <cell r="B22">
            <v>108133.49</v>
          </cell>
          <cell r="C22">
            <v>-244226.98</v>
          </cell>
          <cell r="D22">
            <v>-298759.83</v>
          </cell>
          <cell r="E22">
            <v>-358710.8</v>
          </cell>
          <cell r="F22">
            <v>-440974.38</v>
          </cell>
          <cell r="G22">
            <v>-456344.81</v>
          </cell>
          <cell r="H22">
            <v>-262913.95</v>
          </cell>
          <cell r="I22">
            <v>-154658.60999999999</v>
          </cell>
          <cell r="J22">
            <v>-51569.32</v>
          </cell>
          <cell r="K22">
            <v>-281822.09000000003</v>
          </cell>
          <cell r="L22">
            <v>20061.560000000001</v>
          </cell>
          <cell r="M22">
            <v>-81269.47</v>
          </cell>
        </row>
        <row r="23">
          <cell r="A23">
            <v>4470144</v>
          </cell>
          <cell r="B23">
            <v>-178</v>
          </cell>
          <cell r="C23">
            <v>7399</v>
          </cell>
          <cell r="D23">
            <v>-10595</v>
          </cell>
          <cell r="E23">
            <v>2160</v>
          </cell>
          <cell r="F23">
            <v>-9158</v>
          </cell>
          <cell r="G23">
            <v>21926</v>
          </cell>
          <cell r="H23">
            <v>46656</v>
          </cell>
          <cell r="I23">
            <v>-25903</v>
          </cell>
          <cell r="J23">
            <v>50071</v>
          </cell>
          <cell r="K23">
            <v>43237</v>
          </cell>
          <cell r="L23">
            <v>-46309</v>
          </cell>
          <cell r="M23">
            <v>-3072</v>
          </cell>
        </row>
        <row r="24">
          <cell r="A24">
            <v>4470146</v>
          </cell>
          <cell r="B24">
            <v>59221630.829999998</v>
          </cell>
          <cell r="C24">
            <v>63719873.100000001</v>
          </cell>
          <cell r="D24">
            <v>57356837.709999993</v>
          </cell>
          <cell r="E24">
            <v>55417089.780000001</v>
          </cell>
          <cell r="F24">
            <v>62003165.07</v>
          </cell>
          <cell r="G24">
            <v>49375134.730000004</v>
          </cell>
          <cell r="H24">
            <v>50263127.299999997</v>
          </cell>
          <cell r="I24">
            <v>48230302.770000003</v>
          </cell>
          <cell r="J24">
            <v>44026887.759999998</v>
          </cell>
          <cell r="K24">
            <v>44577780.710000001</v>
          </cell>
          <cell r="L24">
            <v>42828750.510000005</v>
          </cell>
          <cell r="M24">
            <v>46292674.150000006</v>
          </cell>
        </row>
        <row r="25">
          <cell r="A25">
            <v>4470147</v>
          </cell>
          <cell r="B25">
            <v>1068222.78</v>
          </cell>
          <cell r="C25">
            <v>1068222.78</v>
          </cell>
          <cell r="D25">
            <v>1068222.78</v>
          </cell>
          <cell r="E25">
            <v>1068222.78</v>
          </cell>
          <cell r="F25">
            <v>1068222.78</v>
          </cell>
        </row>
        <row r="26">
          <cell r="A26">
            <v>4470148</v>
          </cell>
          <cell r="B26">
            <v>-48975332.490000002</v>
          </cell>
          <cell r="C26">
            <v>-41574071.030000001</v>
          </cell>
          <cell r="D26">
            <v>-46305532.169999994</v>
          </cell>
          <cell r="E26">
            <v>-43440318.210000001</v>
          </cell>
          <cell r="F26">
            <v>-43025632.049999997</v>
          </cell>
          <cell r="G26">
            <v>-49555056.899999999</v>
          </cell>
          <cell r="H26">
            <v>-52302141.490000002</v>
          </cell>
          <cell r="I26">
            <v>-49907861.439999998</v>
          </cell>
          <cell r="J26">
            <v>-40401466.840000004</v>
          </cell>
          <cell r="K26">
            <v>-43463736.510000005</v>
          </cell>
          <cell r="L26">
            <v>-38512685.700000003</v>
          </cell>
          <cell r="M26">
            <v>-42674504.020000003</v>
          </cell>
        </row>
        <row r="27">
          <cell r="A27">
            <v>4470150</v>
          </cell>
          <cell r="B27">
            <v>-197585.73</v>
          </cell>
          <cell r="C27">
            <v>-197585.73</v>
          </cell>
          <cell r="D27">
            <v>-197585.73</v>
          </cell>
          <cell r="E27">
            <v>-197585.73</v>
          </cell>
          <cell r="F27">
            <v>-197585.73</v>
          </cell>
          <cell r="G27">
            <v>-197585.73</v>
          </cell>
          <cell r="H27">
            <v>-197585.73</v>
          </cell>
          <cell r="I27">
            <v>-197585.73</v>
          </cell>
          <cell r="J27">
            <v>-197585.73</v>
          </cell>
          <cell r="K27">
            <v>-176905.89</v>
          </cell>
          <cell r="L27">
            <v>-6905.890000000014</v>
          </cell>
          <cell r="M27">
            <v>-176905.89</v>
          </cell>
        </row>
        <row r="28">
          <cell r="A28">
            <v>4470152</v>
          </cell>
          <cell r="B28">
            <v>1600015.84</v>
          </cell>
          <cell r="C28">
            <v>611477.25</v>
          </cell>
          <cell r="D28">
            <v>-219704.59</v>
          </cell>
          <cell r="E28">
            <v>-2214690.81</v>
          </cell>
          <cell r="F28">
            <v>-774582.33</v>
          </cell>
          <cell r="G28">
            <v>2210467.59</v>
          </cell>
          <cell r="H28">
            <v>629763.59</v>
          </cell>
          <cell r="I28">
            <v>-37588.97</v>
          </cell>
          <cell r="J28">
            <v>4570.2</v>
          </cell>
          <cell r="K28">
            <v>-292908.76</v>
          </cell>
          <cell r="L28">
            <v>-299274.46000000002</v>
          </cell>
          <cell r="M28">
            <v>561678.97</v>
          </cell>
        </row>
        <row r="29">
          <cell r="A29">
            <v>4470154</v>
          </cell>
          <cell r="B29">
            <v>-13960567.52</v>
          </cell>
          <cell r="C29">
            <v>-24488563.93</v>
          </cell>
          <cell r="D29">
            <v>-13877012.960000001</v>
          </cell>
          <cell r="E29">
            <v>-14530683.369999997</v>
          </cell>
          <cell r="F29">
            <v>-20154026.289999999</v>
          </cell>
          <cell r="G29">
            <v>-257515.32</v>
          </cell>
          <cell r="H29">
            <v>2879913.36</v>
          </cell>
          <cell r="I29">
            <v>1882813.61</v>
          </cell>
          <cell r="J29">
            <v>-3601019.85</v>
          </cell>
          <cell r="K29">
            <v>-1388720.54</v>
          </cell>
          <cell r="L29">
            <v>-4172785.39</v>
          </cell>
          <cell r="M29">
            <v>-3799386.93</v>
          </cell>
        </row>
        <row r="30">
          <cell r="A30">
            <v>4470155</v>
          </cell>
          <cell r="B30">
            <v>72649.391999999993</v>
          </cell>
          <cell r="C30">
            <v>121516.14299999998</v>
          </cell>
          <cell r="D30">
            <v>35344.521000000008</v>
          </cell>
          <cell r="E30">
            <v>66129.7</v>
          </cell>
          <cell r="F30">
            <v>160329.14200000005</v>
          </cell>
          <cell r="G30">
            <v>236601.38100000002</v>
          </cell>
          <cell r="H30">
            <v>232685.44099999996</v>
          </cell>
          <cell r="I30">
            <v>146811</v>
          </cell>
          <cell r="J30">
            <v>223132.4</v>
          </cell>
          <cell r="K30">
            <v>306190.82</v>
          </cell>
          <cell r="L30">
            <v>77076.88</v>
          </cell>
          <cell r="M30">
            <v>-2455.42</v>
          </cell>
        </row>
        <row r="31">
          <cell r="A31">
            <v>4470156</v>
          </cell>
          <cell r="B31">
            <v>-72649.391999999993</v>
          </cell>
          <cell r="C31">
            <v>-121516.14299999998</v>
          </cell>
          <cell r="D31">
            <v>-35344.521000000008</v>
          </cell>
          <cell r="E31">
            <v>-66129.7</v>
          </cell>
          <cell r="F31">
            <v>-160329.14200000005</v>
          </cell>
          <cell r="G31">
            <v>-236601.38100000002</v>
          </cell>
          <cell r="H31">
            <v>-232685.44099999996</v>
          </cell>
          <cell r="I31">
            <v>-146811</v>
          </cell>
          <cell r="J31">
            <v>-223132.4</v>
          </cell>
          <cell r="K31">
            <v>-306190.82</v>
          </cell>
          <cell r="L31">
            <v>-77076.88</v>
          </cell>
          <cell r="M31">
            <v>2455.42</v>
          </cell>
        </row>
        <row r="32">
          <cell r="A32">
            <v>4470157</v>
          </cell>
          <cell r="B32">
            <v>-11908511.130000001</v>
          </cell>
          <cell r="C32">
            <v>-23250173.190000001</v>
          </cell>
          <cell r="D32">
            <v>-13446898.42</v>
          </cell>
          <cell r="E32">
            <v>-15058943.4</v>
          </cell>
          <cell r="F32">
            <v>-20276109.82</v>
          </cell>
          <cell r="G32">
            <v>1949296.25</v>
          </cell>
          <cell r="H32">
            <v>3300005.82</v>
          </cell>
          <cell r="I32">
            <v>1621950.61</v>
          </cell>
          <cell r="J32">
            <v>-3581414.61</v>
          </cell>
          <cell r="K32">
            <v>-1598628.95</v>
          </cell>
          <cell r="L32">
            <v>-4327677.9000000004</v>
          </cell>
          <cell r="M32">
            <v>-3048415.44</v>
          </cell>
        </row>
        <row r="33">
          <cell r="A33">
            <v>4470158</v>
          </cell>
          <cell r="B33">
            <v>11908511.130000001</v>
          </cell>
          <cell r="C33">
            <v>23250173.190000001</v>
          </cell>
          <cell r="D33">
            <v>13446898.42</v>
          </cell>
          <cell r="E33">
            <v>15058943.4</v>
          </cell>
          <cell r="F33">
            <v>20276109.82</v>
          </cell>
          <cell r="G33">
            <v>-1949296.25</v>
          </cell>
          <cell r="H33">
            <v>-3300005.82</v>
          </cell>
          <cell r="I33">
            <v>-1621950.61</v>
          </cell>
          <cell r="J33">
            <v>3581414.61</v>
          </cell>
          <cell r="K33">
            <v>1598628.95</v>
          </cell>
          <cell r="L33">
            <v>4327677.9000000004</v>
          </cell>
          <cell r="M33">
            <v>3048415.44</v>
          </cell>
        </row>
        <row r="34">
          <cell r="A34">
            <v>4470168</v>
          </cell>
          <cell r="C34">
            <v>-332.49</v>
          </cell>
          <cell r="D34">
            <v>-105.38</v>
          </cell>
          <cell r="E34">
            <v>-37.85</v>
          </cell>
          <cell r="F34">
            <v>110.75</v>
          </cell>
          <cell r="G34">
            <v>130.68</v>
          </cell>
          <cell r="H34">
            <v>150.36000000000001</v>
          </cell>
          <cell r="I34">
            <v>144.47</v>
          </cell>
          <cell r="J34">
            <v>126.59</v>
          </cell>
          <cell r="K34">
            <v>-6107.7</v>
          </cell>
          <cell r="L34">
            <v>846.73</v>
          </cell>
          <cell r="M34">
            <v>1083.1500000000001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28"/>
  <sheetViews>
    <sheetView showGridLines="0" zoomScaleNormal="100" workbookViewId="0">
      <selection activeCell="D18" sqref="D18"/>
    </sheetView>
  </sheetViews>
  <sheetFormatPr defaultColWidth="9.109375" defaultRowHeight="13.2"/>
  <cols>
    <col min="1" max="1" width="23.5546875" style="1" customWidth="1"/>
    <col min="2" max="2" width="8.44140625" style="1" customWidth="1"/>
    <col min="3" max="3" width="11" style="1" customWidth="1"/>
    <col min="4" max="4" width="15.5546875" style="1" customWidth="1"/>
    <col min="5" max="5" width="15" style="1" customWidth="1"/>
    <col min="6" max="16384" width="9.109375" style="1"/>
  </cols>
  <sheetData>
    <row r="1" spans="1:9">
      <c r="A1" s="654"/>
      <c r="B1" s="656" t="s">
        <v>113</v>
      </c>
      <c r="C1" s="654"/>
      <c r="D1" s="654"/>
      <c r="E1" s="654"/>
      <c r="F1" s="657" t="s">
        <v>606</v>
      </c>
      <c r="G1" s="654"/>
      <c r="H1" s="654"/>
    </row>
    <row r="2" spans="1:9">
      <c r="A2" s="687" t="s">
        <v>625</v>
      </c>
      <c r="B2" s="687"/>
      <c r="C2" s="687"/>
      <c r="D2" s="687"/>
      <c r="E2" s="687"/>
      <c r="F2" s="687"/>
      <c r="G2" s="687"/>
      <c r="H2" s="654"/>
    </row>
    <row r="3" spans="1:9">
      <c r="A3" s="689" t="s">
        <v>605</v>
      </c>
      <c r="B3" s="689"/>
      <c r="C3" s="689"/>
      <c r="D3" s="689"/>
      <c r="E3" s="689"/>
      <c r="F3" s="689"/>
      <c r="G3" s="689"/>
      <c r="H3" s="654"/>
    </row>
    <row r="4" spans="1:9">
      <c r="A4" s="687" t="s">
        <v>607</v>
      </c>
      <c r="B4" s="687"/>
      <c r="C4" s="687"/>
      <c r="D4" s="687"/>
      <c r="E4" s="687"/>
      <c r="F4" s="687"/>
      <c r="G4" s="687"/>
      <c r="H4" s="654"/>
    </row>
    <row r="5" spans="1:9">
      <c r="A5" s="688" t="s">
        <v>1175</v>
      </c>
      <c r="B5" s="688"/>
      <c r="C5" s="688"/>
      <c r="D5" s="688"/>
      <c r="E5" s="687"/>
      <c r="F5" s="687"/>
      <c r="G5" s="687"/>
      <c r="H5" s="654"/>
    </row>
    <row r="6" spans="1:9">
      <c r="A6" s="654"/>
      <c r="B6" s="654"/>
      <c r="C6" s="654"/>
      <c r="D6" s="654"/>
      <c r="E6" s="654"/>
      <c r="F6" s="654"/>
      <c r="G6" s="654"/>
      <c r="H6" s="654"/>
    </row>
    <row r="7" spans="1:9" ht="15">
      <c r="A7" s="658"/>
      <c r="B7" s="658"/>
      <c r="C7" s="659" t="s">
        <v>562</v>
      </c>
      <c r="D7" s="658"/>
      <c r="E7" s="658"/>
      <c r="F7" s="654"/>
      <c r="G7" s="654"/>
      <c r="H7" s="654"/>
    </row>
    <row r="8" spans="1:9" ht="17.399999999999999">
      <c r="A8" s="660" t="s">
        <v>108</v>
      </c>
      <c r="B8" s="659" t="s">
        <v>384</v>
      </c>
      <c r="C8" s="659" t="s">
        <v>533</v>
      </c>
      <c r="D8" s="659" t="s">
        <v>550</v>
      </c>
      <c r="E8" s="661" t="s">
        <v>974</v>
      </c>
      <c r="F8" s="654"/>
      <c r="G8" s="654"/>
      <c r="H8" s="654"/>
    </row>
    <row r="9" spans="1:9" ht="15">
      <c r="A9" s="662" t="s">
        <v>1174</v>
      </c>
      <c r="B9" s="663">
        <v>11</v>
      </c>
      <c r="C9" s="664">
        <v>1600</v>
      </c>
      <c r="D9" s="665">
        <v>5724.8310000000001</v>
      </c>
      <c r="E9" s="666" t="s">
        <v>278</v>
      </c>
      <c r="F9" s="654"/>
      <c r="G9" s="654"/>
      <c r="H9" s="654"/>
      <c r="I9" s="261"/>
    </row>
    <row r="10" spans="1:9" ht="15">
      <c r="A10" s="662" t="s">
        <v>573</v>
      </c>
      <c r="B10" s="663">
        <v>25</v>
      </c>
      <c r="C10" s="664">
        <v>1600</v>
      </c>
      <c r="D10" s="665">
        <v>5884.55</v>
      </c>
      <c r="E10" s="658"/>
      <c r="F10" s="654"/>
      <c r="G10" s="654"/>
      <c r="H10" s="654"/>
      <c r="I10" s="261"/>
    </row>
    <row r="11" spans="1:9" ht="15">
      <c r="A11" s="662" t="s">
        <v>1174</v>
      </c>
      <c r="B11" s="663">
        <v>12</v>
      </c>
      <c r="C11" s="664">
        <v>1600</v>
      </c>
      <c r="D11" s="665">
        <v>5699.4989999999998</v>
      </c>
      <c r="E11" s="658"/>
      <c r="F11" s="654"/>
      <c r="G11" s="654"/>
      <c r="H11" s="654"/>
      <c r="I11" s="261"/>
    </row>
    <row r="12" spans="1:9" ht="15">
      <c r="A12" s="662" t="s">
        <v>573</v>
      </c>
      <c r="B12" s="663">
        <v>27</v>
      </c>
      <c r="C12" s="664">
        <v>1700</v>
      </c>
      <c r="D12" s="665">
        <v>5323.6170000000002</v>
      </c>
      <c r="E12" s="658"/>
      <c r="F12" s="654"/>
      <c r="G12" s="654"/>
      <c r="H12" s="654"/>
      <c r="I12" s="261"/>
    </row>
    <row r="13" spans="1:9" ht="15">
      <c r="A13" s="662" t="s">
        <v>1174</v>
      </c>
      <c r="B13" s="663">
        <v>10</v>
      </c>
      <c r="C13" s="664">
        <v>1700</v>
      </c>
      <c r="D13" s="665">
        <v>5549.0159999999996</v>
      </c>
      <c r="E13" s="658"/>
      <c r="F13" s="654"/>
      <c r="G13" s="654"/>
      <c r="H13" s="654"/>
      <c r="I13" s="261"/>
    </row>
    <row r="14" spans="1:9" ht="15">
      <c r="A14" s="658"/>
      <c r="B14" s="658"/>
      <c r="C14" s="658"/>
      <c r="D14" s="667"/>
      <c r="E14" s="658"/>
      <c r="F14" s="654"/>
      <c r="G14" s="654"/>
      <c r="H14" s="654"/>
      <c r="I14" s="261"/>
    </row>
    <row r="15" spans="1:9" ht="15">
      <c r="A15" s="658" t="s">
        <v>385</v>
      </c>
      <c r="B15" s="658"/>
      <c r="C15" s="658"/>
      <c r="D15" s="668">
        <f>ROUND(AVERAGE(D9:D13),1)</f>
        <v>5636.3</v>
      </c>
      <c r="E15" s="658"/>
      <c r="F15" s="654"/>
      <c r="G15" s="654"/>
      <c r="H15" s="654"/>
      <c r="I15" s="261"/>
    </row>
    <row r="16" spans="1:9" ht="15">
      <c r="A16" s="658"/>
      <c r="B16" s="658"/>
      <c r="C16" s="658"/>
      <c r="D16" s="669"/>
      <c r="E16" s="658"/>
      <c r="F16" s="654"/>
      <c r="G16" s="654"/>
      <c r="H16" s="654"/>
      <c r="I16" s="261"/>
    </row>
    <row r="17" spans="1:9" ht="15">
      <c r="A17" s="658"/>
      <c r="B17" s="658"/>
      <c r="C17" s="658"/>
      <c r="D17" s="667"/>
      <c r="E17" s="658"/>
      <c r="F17" s="654"/>
      <c r="G17" s="654"/>
      <c r="H17" s="654"/>
      <c r="I17" s="261"/>
    </row>
    <row r="18" spans="1:9" ht="15">
      <c r="A18" s="658" t="s">
        <v>101</v>
      </c>
      <c r="B18" s="658"/>
      <c r="C18" s="658"/>
      <c r="D18" s="668">
        <f>+D15</f>
        <v>5636.3</v>
      </c>
      <c r="E18" s="658"/>
      <c r="F18" s="654"/>
      <c r="G18" s="654"/>
      <c r="H18" s="654"/>
      <c r="I18" s="261"/>
    </row>
    <row r="19" spans="1:9">
      <c r="A19" s="654"/>
      <c r="B19" s="654"/>
      <c r="C19" s="654"/>
      <c r="D19" s="654"/>
      <c r="E19" s="654"/>
      <c r="F19" s="654"/>
      <c r="G19" s="654"/>
      <c r="H19" s="654"/>
      <c r="I19" s="261"/>
    </row>
    <row r="20" spans="1:9">
      <c r="A20" s="654"/>
      <c r="B20" s="654"/>
      <c r="C20" s="654"/>
      <c r="D20" s="654"/>
      <c r="E20" s="654"/>
      <c r="F20" s="654"/>
      <c r="G20" s="654"/>
      <c r="H20" s="654"/>
      <c r="I20" s="261"/>
    </row>
    <row r="21" spans="1:9">
      <c r="A21" s="670" t="s">
        <v>547</v>
      </c>
      <c r="B21" s="654"/>
      <c r="C21" s="654"/>
      <c r="D21" s="654"/>
      <c r="E21" s="654"/>
      <c r="F21" s="654"/>
      <c r="G21" s="654"/>
      <c r="H21" s="654"/>
      <c r="I21" s="261"/>
    </row>
    <row r="22" spans="1:9">
      <c r="A22" s="670" t="s">
        <v>113</v>
      </c>
      <c r="B22" s="654"/>
      <c r="C22" s="654"/>
      <c r="D22" s="654"/>
      <c r="E22" s="654"/>
      <c r="F22" s="654"/>
      <c r="G22" s="654"/>
      <c r="H22" s="654"/>
      <c r="I22" s="261"/>
    </row>
    <row r="23" spans="1:9">
      <c r="A23" s="573" t="s">
        <v>279</v>
      </c>
      <c r="B23" s="654"/>
      <c r="C23" s="654"/>
      <c r="D23" s="654"/>
      <c r="E23" s="654"/>
      <c r="F23" s="654"/>
      <c r="G23" s="654"/>
      <c r="H23" s="654"/>
      <c r="I23" s="261"/>
    </row>
    <row r="24" spans="1:9" ht="15.6">
      <c r="A24" s="671" t="s">
        <v>280</v>
      </c>
      <c r="B24" s="654"/>
      <c r="C24" s="654"/>
      <c r="D24" s="654"/>
      <c r="E24" s="654"/>
      <c r="F24" s="654"/>
      <c r="G24" s="654"/>
      <c r="H24" s="654"/>
      <c r="I24" s="261"/>
    </row>
    <row r="25" spans="1:9">
      <c r="A25" s="654"/>
      <c r="B25" s="654"/>
      <c r="C25" s="654"/>
      <c r="D25" s="654"/>
      <c r="E25" s="654"/>
      <c r="F25" s="654"/>
      <c r="G25" s="654"/>
      <c r="H25" s="654"/>
      <c r="I25" s="261"/>
    </row>
    <row r="26" spans="1:9">
      <c r="A26" s="654"/>
      <c r="B26" s="654"/>
      <c r="C26" s="654"/>
      <c r="D26" s="654"/>
      <c r="E26" s="654"/>
      <c r="F26" s="654"/>
      <c r="G26" s="654"/>
      <c r="H26" s="654"/>
    </row>
    <row r="27" spans="1:9">
      <c r="A27" s="654"/>
      <c r="B27" s="654"/>
      <c r="C27" s="654"/>
      <c r="D27" s="654"/>
      <c r="E27" s="654"/>
      <c r="F27" s="654"/>
      <c r="G27" s="654"/>
      <c r="H27" s="654"/>
    </row>
    <row r="28" spans="1:9">
      <c r="A28" s="654" t="s">
        <v>113</v>
      </c>
      <c r="B28" s="654"/>
      <c r="C28" s="654"/>
      <c r="D28" s="654"/>
      <c r="E28" s="654"/>
      <c r="F28" s="654"/>
      <c r="G28" s="654"/>
      <c r="H28" s="654"/>
    </row>
  </sheetData>
  <mergeCells count="4">
    <mergeCell ref="A2:G2"/>
    <mergeCell ref="A4:G4"/>
    <mergeCell ref="A5:G5"/>
    <mergeCell ref="A3:G3"/>
  </mergeCells>
  <phoneticPr fontId="2" type="noConversion"/>
  <pageMargins left="0.5" right="0.5" top="0.5" bottom="0.5" header="0.5" footer="0.25"/>
  <pageSetup orientation="portrait" r:id="rId1"/>
  <headerFooter alignWithMargins="0"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I50"/>
  <sheetViews>
    <sheetView showGridLines="0" view="pageBreakPreview" zoomScale="60" zoomScaleNormal="100" workbookViewId="0">
      <selection activeCell="C46" sqref="C46"/>
    </sheetView>
  </sheetViews>
  <sheetFormatPr defaultColWidth="9.109375" defaultRowHeight="13.2"/>
  <cols>
    <col min="1" max="1" width="37.88671875" style="1" customWidth="1"/>
    <col min="2" max="2" width="15.88671875" style="1" customWidth="1"/>
    <col min="3" max="3" width="20" style="1" customWidth="1"/>
    <col min="4" max="4" width="12.5546875" style="1" customWidth="1"/>
    <col min="5" max="5" width="16.88671875" style="1" customWidth="1"/>
    <col min="6" max="16384" width="9.109375" style="1"/>
  </cols>
  <sheetData>
    <row r="1" spans="1:9">
      <c r="D1" s="284" t="s">
        <v>113</v>
      </c>
    </row>
    <row r="2" spans="1:9">
      <c r="A2" s="691" t="s">
        <v>625</v>
      </c>
      <c r="B2" s="691"/>
      <c r="C2" s="691"/>
      <c r="D2" s="284" t="s">
        <v>113</v>
      </c>
    </row>
    <row r="3" spans="1:9">
      <c r="A3" s="720" t="s">
        <v>614</v>
      </c>
      <c r="B3" s="694"/>
      <c r="C3" s="694"/>
      <c r="D3" s="295"/>
      <c r="E3" s="295"/>
      <c r="F3" s="295"/>
      <c r="G3" s="295"/>
      <c r="H3" s="295"/>
      <c r="I3" s="295"/>
    </row>
    <row r="4" spans="1:9">
      <c r="A4" s="691" t="s">
        <v>617</v>
      </c>
      <c r="B4" s="691"/>
      <c r="C4" s="691"/>
      <c r="D4" s="107"/>
    </row>
    <row r="5" spans="1:9">
      <c r="A5" s="726" t="s">
        <v>1175</v>
      </c>
      <c r="B5" s="726"/>
      <c r="C5" s="726"/>
      <c r="D5" s="242"/>
    </row>
    <row r="7" spans="1:9">
      <c r="A7" s="110" t="s">
        <v>114</v>
      </c>
      <c r="B7" s="18" t="s">
        <v>117</v>
      </c>
      <c r="C7" s="240">
        <v>42735</v>
      </c>
      <c r="D7" s="240"/>
    </row>
    <row r="8" spans="1:9">
      <c r="A8" s="305" t="s">
        <v>64</v>
      </c>
    </row>
    <row r="9" spans="1:9">
      <c r="A9" s="1" t="s">
        <v>69</v>
      </c>
      <c r="B9" s="107">
        <v>301</v>
      </c>
      <c r="C9" s="143">
        <v>133394</v>
      </c>
      <c r="D9" s="248"/>
    </row>
    <row r="10" spans="1:9">
      <c r="B10" s="107"/>
      <c r="C10" s="143"/>
      <c r="D10" s="248"/>
    </row>
    <row r="11" spans="1:9">
      <c r="A11" s="1" t="s">
        <v>70</v>
      </c>
      <c r="B11" s="107">
        <v>302</v>
      </c>
      <c r="C11" s="143">
        <v>15489943</v>
      </c>
      <c r="D11" s="248"/>
    </row>
    <row r="12" spans="1:9">
      <c r="B12" s="107"/>
      <c r="C12" s="314"/>
      <c r="D12" s="248"/>
    </row>
    <row r="13" spans="1:9">
      <c r="A13" s="1" t="s">
        <v>71</v>
      </c>
      <c r="B13" s="107">
        <v>303</v>
      </c>
      <c r="C13" s="143">
        <v>89738046</v>
      </c>
      <c r="D13" s="248"/>
    </row>
    <row r="14" spans="1:9">
      <c r="B14" s="107"/>
      <c r="C14" s="248"/>
      <c r="D14" s="248"/>
    </row>
    <row r="15" spans="1:9">
      <c r="A15" s="1" t="s">
        <v>72</v>
      </c>
      <c r="C15" s="249">
        <f>SUM(C9:C13)</f>
        <v>105361383</v>
      </c>
      <c r="D15" s="249"/>
    </row>
    <row r="17" spans="1:4">
      <c r="A17" s="305" t="s">
        <v>942</v>
      </c>
      <c r="C17" s="6"/>
      <c r="D17" s="6"/>
    </row>
    <row r="18" spans="1:4">
      <c r="A18" s="1" t="s">
        <v>119</v>
      </c>
      <c r="B18" s="107">
        <v>389</v>
      </c>
      <c r="C18" s="3">
        <v>15041991</v>
      </c>
      <c r="D18" s="3"/>
    </row>
    <row r="19" spans="1:4">
      <c r="B19" s="107"/>
      <c r="C19" s="6"/>
      <c r="D19" s="6"/>
    </row>
    <row r="20" spans="1:4">
      <c r="A20" s="1" t="s">
        <v>120</v>
      </c>
      <c r="B20" s="107">
        <v>390</v>
      </c>
      <c r="C20" s="3">
        <v>117987196</v>
      </c>
      <c r="D20" s="3"/>
    </row>
    <row r="21" spans="1:4">
      <c r="C21" s="6"/>
      <c r="D21" s="6"/>
    </row>
    <row r="22" spans="1:4">
      <c r="A22" s="1" t="s">
        <v>121</v>
      </c>
      <c r="B22" s="107">
        <v>391</v>
      </c>
      <c r="C22" s="3">
        <v>7428308</v>
      </c>
      <c r="D22" s="3"/>
    </row>
    <row r="23" spans="1:4">
      <c r="B23" s="107"/>
      <c r="C23" s="6"/>
      <c r="D23" s="6"/>
    </row>
    <row r="24" spans="1:4">
      <c r="A24" s="1" t="s">
        <v>122</v>
      </c>
      <c r="B24" s="107">
        <v>392</v>
      </c>
      <c r="C24" s="3">
        <v>8674</v>
      </c>
      <c r="D24" s="3"/>
    </row>
    <row r="25" spans="1:4">
      <c r="B25" s="107"/>
      <c r="C25" s="11"/>
      <c r="D25" s="11"/>
    </row>
    <row r="26" spans="1:4">
      <c r="A26" s="1" t="s">
        <v>123</v>
      </c>
      <c r="B26" s="107">
        <v>393</v>
      </c>
      <c r="C26" s="3">
        <v>1566620</v>
      </c>
      <c r="D26" s="3"/>
    </row>
    <row r="27" spans="1:4">
      <c r="B27" s="107"/>
      <c r="C27" s="11"/>
      <c r="D27" s="11"/>
    </row>
    <row r="28" spans="1:4">
      <c r="B28" s="107"/>
      <c r="C28" s="11"/>
      <c r="D28" s="11"/>
    </row>
    <row r="29" spans="1:4">
      <c r="A29" s="1" t="s">
        <v>124</v>
      </c>
      <c r="B29" s="107">
        <v>394</v>
      </c>
      <c r="C29" s="3">
        <v>29521729</v>
      </c>
      <c r="D29" s="3"/>
    </row>
    <row r="30" spans="1:4">
      <c r="B30" s="107"/>
      <c r="C30" s="11"/>
      <c r="D30" s="11"/>
    </row>
    <row r="31" spans="1:4">
      <c r="A31" s="1" t="s">
        <v>125</v>
      </c>
      <c r="B31" s="107">
        <v>395</v>
      </c>
      <c r="C31" s="3">
        <v>2828413</v>
      </c>
      <c r="D31" s="3"/>
    </row>
    <row r="32" spans="1:4">
      <c r="B32" s="107"/>
      <c r="C32" s="11"/>
      <c r="D32" s="11"/>
    </row>
    <row r="33" spans="1:4">
      <c r="A33" s="1" t="s">
        <v>126</v>
      </c>
      <c r="B33" s="107">
        <v>396</v>
      </c>
      <c r="C33" s="3">
        <v>0</v>
      </c>
      <c r="D33" s="3"/>
    </row>
    <row r="34" spans="1:4">
      <c r="B34" s="107"/>
      <c r="C34" s="11"/>
      <c r="D34" s="11"/>
    </row>
    <row r="35" spans="1:4">
      <c r="A35" s="1" t="s">
        <v>127</v>
      </c>
      <c r="B35" s="107">
        <v>397</v>
      </c>
      <c r="C35" s="3">
        <v>39467281</v>
      </c>
      <c r="D35" s="3"/>
    </row>
    <row r="36" spans="1:4">
      <c r="B36" s="107"/>
      <c r="C36" s="11"/>
      <c r="D36" s="11"/>
    </row>
    <row r="37" spans="1:4">
      <c r="A37" s="1" t="s">
        <v>128</v>
      </c>
      <c r="B37" s="107">
        <v>398</v>
      </c>
      <c r="C37" s="3">
        <v>6817434</v>
      </c>
      <c r="D37" s="3"/>
    </row>
    <row r="38" spans="1:4">
      <c r="B38" s="107"/>
      <c r="C38" s="11"/>
      <c r="D38" s="11"/>
    </row>
    <row r="39" spans="1:4">
      <c r="A39" s="1" t="s">
        <v>633</v>
      </c>
      <c r="B39" s="107">
        <v>399</v>
      </c>
      <c r="C39" s="11">
        <v>0</v>
      </c>
      <c r="D39" s="11"/>
    </row>
    <row r="40" spans="1:4">
      <c r="B40" s="107"/>
      <c r="C40" s="11"/>
      <c r="D40" s="11"/>
    </row>
    <row r="41" spans="1:4">
      <c r="C41" s="6"/>
      <c r="D41" s="6"/>
    </row>
    <row r="42" spans="1:4">
      <c r="A42" s="1" t="s">
        <v>210</v>
      </c>
      <c r="C42" s="6">
        <f>SUM(C18:C39)</f>
        <v>220667646</v>
      </c>
      <c r="D42" s="6"/>
    </row>
    <row r="43" spans="1:4">
      <c r="A43" s="305" t="s">
        <v>65</v>
      </c>
      <c r="C43" s="6"/>
      <c r="D43" s="6"/>
    </row>
    <row r="44" spans="1:4">
      <c r="A44" s="254" t="s">
        <v>546</v>
      </c>
      <c r="B44" s="254"/>
      <c r="C44" s="282">
        <f>+C42+C15</f>
        <v>326029029</v>
      </c>
      <c r="D44" s="249"/>
    </row>
    <row r="45" spans="1:4">
      <c r="C45" s="249"/>
      <c r="D45" s="249"/>
    </row>
    <row r="46" spans="1:4">
      <c r="A46" s="1" t="s">
        <v>548</v>
      </c>
      <c r="B46" s="27" t="s">
        <v>600</v>
      </c>
      <c r="C46" s="249">
        <f>+C44+781258</f>
        <v>326810287</v>
      </c>
      <c r="D46" s="249"/>
    </row>
    <row r="47" spans="1:4">
      <c r="C47" s="181"/>
      <c r="D47" s="181"/>
    </row>
    <row r="48" spans="1:4">
      <c r="A48" s="7" t="s">
        <v>549</v>
      </c>
    </row>
    <row r="49" spans="1:1">
      <c r="A49" s="283" t="s">
        <v>552</v>
      </c>
    </row>
    <row r="50" spans="1:1">
      <c r="A50" s="283" t="s">
        <v>553</v>
      </c>
    </row>
  </sheetData>
  <mergeCells count="4">
    <mergeCell ref="A2:C2"/>
    <mergeCell ref="A4:C4"/>
    <mergeCell ref="A5:C5"/>
    <mergeCell ref="A3:C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I23"/>
  <sheetViews>
    <sheetView showGridLines="0" view="pageBreakPreview" zoomScale="60" zoomScaleNormal="100" workbookViewId="0">
      <selection activeCell="B21" sqref="B21"/>
    </sheetView>
  </sheetViews>
  <sheetFormatPr defaultColWidth="11" defaultRowHeight="13.2"/>
  <cols>
    <col min="1" max="1" width="45.109375" style="67" customWidth="1"/>
    <col min="2" max="3" width="14.6640625" style="67" customWidth="1"/>
    <col min="4" max="4" width="8.5546875" style="67" customWidth="1"/>
    <col min="5" max="5" width="18.6640625" style="67" customWidth="1"/>
    <col min="6" max="10" width="9.109375" style="67" customWidth="1"/>
    <col min="11" max="11" width="10.6640625" style="67" customWidth="1"/>
    <col min="12" max="16384" width="11" style="67"/>
  </cols>
  <sheetData>
    <row r="1" spans="1:9">
      <c r="E1" s="296" t="s">
        <v>113</v>
      </c>
    </row>
    <row r="2" spans="1:9">
      <c r="A2" s="727" t="s">
        <v>625</v>
      </c>
      <c r="B2" s="692"/>
      <c r="C2" s="692"/>
      <c r="D2" s="692"/>
      <c r="E2" s="241"/>
      <c r="F2" s="241"/>
    </row>
    <row r="3" spans="1:9">
      <c r="A3" s="720" t="s">
        <v>605</v>
      </c>
      <c r="B3" s="701"/>
      <c r="C3" s="701"/>
      <c r="D3" s="701"/>
      <c r="E3" s="369"/>
      <c r="F3" s="369"/>
    </row>
    <row r="4" spans="1:9">
      <c r="A4" s="727" t="s">
        <v>897</v>
      </c>
      <c r="B4" s="692"/>
      <c r="C4" s="692"/>
      <c r="D4" s="692"/>
      <c r="E4" s="241"/>
      <c r="F4" s="241"/>
    </row>
    <row r="5" spans="1:9">
      <c r="A5" s="728" t="s">
        <v>1175</v>
      </c>
      <c r="B5" s="692"/>
      <c r="C5" s="692"/>
      <c r="D5" s="692"/>
      <c r="E5" s="241"/>
      <c r="F5" s="241"/>
    </row>
    <row r="6" spans="1:9">
      <c r="B6" s="188"/>
      <c r="C6" s="188"/>
      <c r="D6" s="188"/>
      <c r="E6" s="188"/>
    </row>
    <row r="7" spans="1:9">
      <c r="B7" s="67" t="s">
        <v>113</v>
      </c>
      <c r="C7" s="67" t="s">
        <v>113</v>
      </c>
    </row>
    <row r="8" spans="1:9">
      <c r="A8" s="315" t="s">
        <v>754</v>
      </c>
      <c r="B8" s="266" t="s">
        <v>296</v>
      </c>
      <c r="C8" s="267" t="s">
        <v>359</v>
      </c>
    </row>
    <row r="9" spans="1:9">
      <c r="A9" s="265" t="s">
        <v>360</v>
      </c>
      <c r="B9" s="268">
        <v>169806820</v>
      </c>
      <c r="C9" s="269" t="s">
        <v>943</v>
      </c>
      <c r="E9" s="66"/>
      <c r="G9" s="66"/>
    </row>
    <row r="10" spans="1:9">
      <c r="A10" s="265" t="s">
        <v>750</v>
      </c>
      <c r="B10" s="268">
        <v>3475632</v>
      </c>
      <c r="C10" s="269" t="s">
        <v>751</v>
      </c>
      <c r="D10" s="68"/>
      <c r="E10" s="68"/>
      <c r="G10" s="68"/>
      <c r="H10" s="68"/>
      <c r="I10" s="68"/>
    </row>
    <row r="11" spans="1:9">
      <c r="A11" s="265" t="s">
        <v>749</v>
      </c>
      <c r="B11" s="268">
        <v>2644153</v>
      </c>
      <c r="C11" s="269" t="s">
        <v>752</v>
      </c>
      <c r="D11" s="68"/>
      <c r="E11" s="68"/>
      <c r="G11" s="68"/>
      <c r="H11" s="68"/>
      <c r="I11" s="68"/>
    </row>
    <row r="12" spans="1:9">
      <c r="A12" s="265" t="s">
        <v>634</v>
      </c>
      <c r="B12" s="268">
        <v>14779598</v>
      </c>
      <c r="C12" s="269" t="s">
        <v>635</v>
      </c>
      <c r="D12" s="68"/>
      <c r="E12" s="68"/>
      <c r="G12" s="68"/>
      <c r="H12" s="68"/>
      <c r="I12" s="68"/>
    </row>
    <row r="13" spans="1:9">
      <c r="A13" s="265" t="s">
        <v>110</v>
      </c>
      <c r="B13" s="268">
        <v>41155895</v>
      </c>
      <c r="C13" s="270" t="s">
        <v>361</v>
      </c>
      <c r="D13" s="72"/>
      <c r="E13" s="69"/>
      <c r="G13" s="69"/>
      <c r="H13" s="70"/>
      <c r="I13" s="71"/>
    </row>
    <row r="14" spans="1:9">
      <c r="A14" s="265" t="s">
        <v>111</v>
      </c>
      <c r="B14" s="271">
        <v>131046105</v>
      </c>
      <c r="C14" s="272" t="s">
        <v>362</v>
      </c>
    </row>
    <row r="15" spans="1:9">
      <c r="A15" s="273" t="s">
        <v>131</v>
      </c>
      <c r="B15" s="268">
        <f>4327534+89577</f>
        <v>4417111</v>
      </c>
      <c r="C15" s="270" t="s">
        <v>569</v>
      </c>
      <c r="D15" s="73"/>
      <c r="G15" s="69"/>
      <c r="H15" s="70"/>
      <c r="I15" s="71"/>
    </row>
    <row r="16" spans="1:9">
      <c r="A16" s="274" t="s">
        <v>363</v>
      </c>
      <c r="B16" s="275">
        <v>14054278</v>
      </c>
      <c r="C16" s="276" t="s">
        <v>701</v>
      </c>
    </row>
    <row r="17" spans="1:8">
      <c r="A17" s="371" t="s">
        <v>207</v>
      </c>
      <c r="B17" s="277">
        <f>SUM(B9:B16)</f>
        <v>381379592</v>
      </c>
      <c r="C17" s="370" t="s">
        <v>753</v>
      </c>
      <c r="H17" s="67" t="s">
        <v>113</v>
      </c>
    </row>
    <row r="18" spans="1:8">
      <c r="A18" s="265"/>
      <c r="B18" s="277"/>
      <c r="C18" s="272"/>
    </row>
    <row r="19" spans="1:8">
      <c r="A19" s="372" t="s">
        <v>364</v>
      </c>
      <c r="B19" s="275">
        <v>2841231</v>
      </c>
      <c r="C19" s="276" t="s">
        <v>365</v>
      </c>
    </row>
    <row r="20" spans="1:8">
      <c r="A20" s="265"/>
      <c r="B20" s="277"/>
      <c r="C20" s="272"/>
    </row>
    <row r="21" spans="1:8">
      <c r="A21" s="67" t="s">
        <v>884</v>
      </c>
      <c r="B21" s="37">
        <f>+B17+B19</f>
        <v>384220823</v>
      </c>
      <c r="C21" s="370" t="s">
        <v>366</v>
      </c>
    </row>
    <row r="23" spans="1:8" ht="15.6">
      <c r="A23" s="375" t="s">
        <v>113</v>
      </c>
    </row>
  </sheetData>
  <mergeCells count="4">
    <mergeCell ref="A2:D2"/>
    <mergeCell ref="A3:D3"/>
    <mergeCell ref="A4:D4"/>
    <mergeCell ref="A5:D5"/>
  </mergeCells>
  <phoneticPr fontId="2" type="noConversion"/>
  <conditionalFormatting sqref="H15 H13">
    <cfRule type="cellIs" dxfId="6" priority="1" stopIfTrue="1" operator="equal">
      <formula>FALSE</formula>
    </cfRule>
  </conditionalFormatting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"/>
  <sheetViews>
    <sheetView view="pageBreakPreview" zoomScale="60" zoomScaleNormal="100" workbookViewId="0">
      <selection activeCell="L9" sqref="L9"/>
    </sheetView>
  </sheetViews>
  <sheetFormatPr defaultRowHeight="13.2"/>
  <sheetData>
    <row r="1" spans="1:8">
      <c r="A1" s="692" t="s">
        <v>629</v>
      </c>
      <c r="B1" s="692"/>
      <c r="C1" s="692"/>
      <c r="D1" s="692"/>
      <c r="E1" s="692"/>
      <c r="F1" s="692"/>
      <c r="G1" s="692"/>
      <c r="H1" s="692"/>
    </row>
    <row r="2" spans="1:8">
      <c r="A2" s="699" t="s">
        <v>605</v>
      </c>
      <c r="B2" s="692"/>
      <c r="C2" s="692"/>
      <c r="D2" s="692"/>
      <c r="E2" s="692"/>
      <c r="F2" s="692"/>
      <c r="G2" s="692"/>
      <c r="H2" s="692"/>
    </row>
    <row r="3" spans="1:8">
      <c r="A3" s="692" t="s">
        <v>66</v>
      </c>
      <c r="B3" s="692"/>
      <c r="C3" s="692"/>
      <c r="D3" s="692"/>
      <c r="E3" s="692"/>
      <c r="F3" s="692"/>
      <c r="G3" s="692"/>
      <c r="H3" s="692"/>
    </row>
    <row r="7" spans="1:8">
      <c r="B7" t="s">
        <v>619</v>
      </c>
    </row>
  </sheetData>
  <mergeCells count="3">
    <mergeCell ref="A1:H1"/>
    <mergeCell ref="A2:H2"/>
    <mergeCell ref="A3:H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autoPageBreaks="0" fitToPage="1"/>
  </sheetPr>
  <dimension ref="A1:T204"/>
  <sheetViews>
    <sheetView showOutlineSymbols="0" view="pageBreakPreview" topLeftCell="A13" zoomScale="60" zoomScaleNormal="87" workbookViewId="0">
      <selection activeCell="T68" sqref="T68"/>
    </sheetView>
  </sheetViews>
  <sheetFormatPr defaultColWidth="12.6640625" defaultRowHeight="13.2"/>
  <cols>
    <col min="1" max="1" width="4.5546875" style="415" customWidth="1"/>
    <col min="2" max="2" width="56.109375" style="408" customWidth="1"/>
    <col min="3" max="3" width="20.5546875" style="408" hidden="1" customWidth="1"/>
    <col min="4" max="4" width="20.5546875" style="408" customWidth="1"/>
    <col min="5" max="5" width="23.44140625" style="408" hidden="1" customWidth="1"/>
    <col min="6" max="6" width="19.88671875" style="408" customWidth="1"/>
    <col min="7" max="7" width="16.6640625" style="408" hidden="1" customWidth="1"/>
    <col min="8" max="8" width="4.109375" style="408" hidden="1" customWidth="1"/>
    <col min="9" max="9" width="14" style="408" hidden="1" customWidth="1"/>
    <col min="10" max="10" width="15.88671875" style="408" hidden="1" customWidth="1"/>
    <col min="11" max="11" width="15.109375" style="408" hidden="1" customWidth="1"/>
    <col min="12" max="12" width="2.5546875" style="408" hidden="1" customWidth="1"/>
    <col min="13" max="13" width="23.33203125" style="408" hidden="1" customWidth="1"/>
    <col min="14" max="14" width="22" style="408" hidden="1" customWidth="1"/>
    <col min="15" max="15" width="25.109375" style="408" hidden="1" customWidth="1"/>
    <col min="16" max="16" width="7.44140625" customWidth="1"/>
    <col min="17" max="17" width="22" customWidth="1"/>
    <col min="18" max="18" width="19.44140625" style="408" customWidth="1"/>
    <col min="19" max="19" width="16" style="408" customWidth="1"/>
    <col min="20" max="21" width="12.6640625" style="408" customWidth="1"/>
    <col min="22" max="252" width="12.6640625" style="408"/>
    <col min="253" max="253" width="4.5546875" style="408" customWidth="1"/>
    <col min="254" max="254" width="56.109375" style="408" customWidth="1"/>
    <col min="255" max="255" width="14.5546875" style="408" customWidth="1"/>
    <col min="256" max="256" width="14.6640625" style="408" bestFit="1" customWidth="1"/>
    <col min="257" max="257" width="14.44140625" style="408" customWidth="1"/>
    <col min="258" max="258" width="17" style="408" customWidth="1"/>
    <col min="259" max="259" width="16.6640625" style="408" customWidth="1"/>
    <col min="260" max="260" width="3.88671875" style="408" customWidth="1"/>
    <col min="261" max="263" width="16.6640625" style="408" customWidth="1"/>
    <col min="264" max="264" width="4.109375" style="408" customWidth="1"/>
    <col min="265" max="265" width="14" style="408" customWidth="1"/>
    <col min="266" max="266" width="15.88671875" style="408" customWidth="1"/>
    <col min="267" max="267" width="15.109375" style="408" customWidth="1"/>
    <col min="268" max="268" width="2.5546875" style="408" customWidth="1"/>
    <col min="269" max="269" width="14" style="408" bestFit="1" customWidth="1"/>
    <col min="270" max="270" width="15.88671875" style="408" bestFit="1" customWidth="1"/>
    <col min="271" max="271" width="16.88671875" style="408" customWidth="1"/>
    <col min="272" max="508" width="12.6640625" style="408"/>
    <col min="509" max="509" width="4.5546875" style="408" customWidth="1"/>
    <col min="510" max="510" width="56.109375" style="408" customWidth="1"/>
    <col min="511" max="511" width="14.5546875" style="408" customWidth="1"/>
    <col min="512" max="512" width="14.6640625" style="408" bestFit="1" customWidth="1"/>
    <col min="513" max="513" width="14.44140625" style="408" customWidth="1"/>
    <col min="514" max="514" width="17" style="408" customWidth="1"/>
    <col min="515" max="515" width="16.6640625" style="408" customWidth="1"/>
    <col min="516" max="516" width="3.88671875" style="408" customWidth="1"/>
    <col min="517" max="519" width="16.6640625" style="408" customWidth="1"/>
    <col min="520" max="520" width="4.109375" style="408" customWidth="1"/>
    <col min="521" max="521" width="14" style="408" customWidth="1"/>
    <col min="522" max="522" width="15.88671875" style="408" customWidth="1"/>
    <col min="523" max="523" width="15.109375" style="408" customWidth="1"/>
    <col min="524" max="524" width="2.5546875" style="408" customWidth="1"/>
    <col min="525" max="525" width="14" style="408" bestFit="1" customWidth="1"/>
    <col min="526" max="526" width="15.88671875" style="408" bestFit="1" customWidth="1"/>
    <col min="527" max="527" width="16.88671875" style="408" customWidth="1"/>
    <col min="528" max="764" width="12.6640625" style="408"/>
    <col min="765" max="765" width="4.5546875" style="408" customWidth="1"/>
    <col min="766" max="766" width="56.109375" style="408" customWidth="1"/>
    <col min="767" max="767" width="14.5546875" style="408" customWidth="1"/>
    <col min="768" max="768" width="14.6640625" style="408" bestFit="1" customWidth="1"/>
    <col min="769" max="769" width="14.44140625" style="408" customWidth="1"/>
    <col min="770" max="770" width="17" style="408" customWidth="1"/>
    <col min="771" max="771" width="16.6640625" style="408" customWidth="1"/>
    <col min="772" max="772" width="3.88671875" style="408" customWidth="1"/>
    <col min="773" max="775" width="16.6640625" style="408" customWidth="1"/>
    <col min="776" max="776" width="4.109375" style="408" customWidth="1"/>
    <col min="777" max="777" width="14" style="408" customWidth="1"/>
    <col min="778" max="778" width="15.88671875" style="408" customWidth="1"/>
    <col min="779" max="779" width="15.109375" style="408" customWidth="1"/>
    <col min="780" max="780" width="2.5546875" style="408" customWidth="1"/>
    <col min="781" max="781" width="14" style="408" bestFit="1" customWidth="1"/>
    <col min="782" max="782" width="15.88671875" style="408" bestFit="1" customWidth="1"/>
    <col min="783" max="783" width="16.88671875" style="408" customWidth="1"/>
    <col min="784" max="1020" width="12.6640625" style="408"/>
    <col min="1021" max="1021" width="4.5546875" style="408" customWidth="1"/>
    <col min="1022" max="1022" width="56.109375" style="408" customWidth="1"/>
    <col min="1023" max="1023" width="14.5546875" style="408" customWidth="1"/>
    <col min="1024" max="1024" width="14.6640625" style="408" bestFit="1" customWidth="1"/>
    <col min="1025" max="1025" width="14.44140625" style="408" customWidth="1"/>
    <col min="1026" max="1026" width="17" style="408" customWidth="1"/>
    <col min="1027" max="1027" width="16.6640625" style="408" customWidth="1"/>
    <col min="1028" max="1028" width="3.88671875" style="408" customWidth="1"/>
    <col min="1029" max="1031" width="16.6640625" style="408" customWidth="1"/>
    <col min="1032" max="1032" width="4.109375" style="408" customWidth="1"/>
    <col min="1033" max="1033" width="14" style="408" customWidth="1"/>
    <col min="1034" max="1034" width="15.88671875" style="408" customWidth="1"/>
    <col min="1035" max="1035" width="15.109375" style="408" customWidth="1"/>
    <col min="1036" max="1036" width="2.5546875" style="408" customWidth="1"/>
    <col min="1037" max="1037" width="14" style="408" bestFit="1" customWidth="1"/>
    <col min="1038" max="1038" width="15.88671875" style="408" bestFit="1" customWidth="1"/>
    <col min="1039" max="1039" width="16.88671875" style="408" customWidth="1"/>
    <col min="1040" max="1276" width="12.6640625" style="408"/>
    <col min="1277" max="1277" width="4.5546875" style="408" customWidth="1"/>
    <col min="1278" max="1278" width="56.109375" style="408" customWidth="1"/>
    <col min="1279" max="1279" width="14.5546875" style="408" customWidth="1"/>
    <col min="1280" max="1280" width="14.6640625" style="408" bestFit="1" customWidth="1"/>
    <col min="1281" max="1281" width="14.44140625" style="408" customWidth="1"/>
    <col min="1282" max="1282" width="17" style="408" customWidth="1"/>
    <col min="1283" max="1283" width="16.6640625" style="408" customWidth="1"/>
    <col min="1284" max="1284" width="3.88671875" style="408" customWidth="1"/>
    <col min="1285" max="1287" width="16.6640625" style="408" customWidth="1"/>
    <col min="1288" max="1288" width="4.109375" style="408" customWidth="1"/>
    <col min="1289" max="1289" width="14" style="408" customWidth="1"/>
    <col min="1290" max="1290" width="15.88671875" style="408" customWidth="1"/>
    <col min="1291" max="1291" width="15.109375" style="408" customWidth="1"/>
    <col min="1292" max="1292" width="2.5546875" style="408" customWidth="1"/>
    <col min="1293" max="1293" width="14" style="408" bestFit="1" customWidth="1"/>
    <col min="1294" max="1294" width="15.88671875" style="408" bestFit="1" customWidth="1"/>
    <col min="1295" max="1295" width="16.88671875" style="408" customWidth="1"/>
    <col min="1296" max="1532" width="12.6640625" style="408"/>
    <col min="1533" max="1533" width="4.5546875" style="408" customWidth="1"/>
    <col min="1534" max="1534" width="56.109375" style="408" customWidth="1"/>
    <col min="1535" max="1535" width="14.5546875" style="408" customWidth="1"/>
    <col min="1536" max="1536" width="14.6640625" style="408" bestFit="1" customWidth="1"/>
    <col min="1537" max="1537" width="14.44140625" style="408" customWidth="1"/>
    <col min="1538" max="1538" width="17" style="408" customWidth="1"/>
    <col min="1539" max="1539" width="16.6640625" style="408" customWidth="1"/>
    <col min="1540" max="1540" width="3.88671875" style="408" customWidth="1"/>
    <col min="1541" max="1543" width="16.6640625" style="408" customWidth="1"/>
    <col min="1544" max="1544" width="4.109375" style="408" customWidth="1"/>
    <col min="1545" max="1545" width="14" style="408" customWidth="1"/>
    <col min="1546" max="1546" width="15.88671875" style="408" customWidth="1"/>
    <col min="1547" max="1547" width="15.109375" style="408" customWidth="1"/>
    <col min="1548" max="1548" width="2.5546875" style="408" customWidth="1"/>
    <col min="1549" max="1549" width="14" style="408" bestFit="1" customWidth="1"/>
    <col min="1550" max="1550" width="15.88671875" style="408" bestFit="1" customWidth="1"/>
    <col min="1551" max="1551" width="16.88671875" style="408" customWidth="1"/>
    <col min="1552" max="1788" width="12.6640625" style="408"/>
    <col min="1789" max="1789" width="4.5546875" style="408" customWidth="1"/>
    <col min="1790" max="1790" width="56.109375" style="408" customWidth="1"/>
    <col min="1791" max="1791" width="14.5546875" style="408" customWidth="1"/>
    <col min="1792" max="1792" width="14.6640625" style="408" bestFit="1" customWidth="1"/>
    <col min="1793" max="1793" width="14.44140625" style="408" customWidth="1"/>
    <col min="1794" max="1794" width="17" style="408" customWidth="1"/>
    <col min="1795" max="1795" width="16.6640625" style="408" customWidth="1"/>
    <col min="1796" max="1796" width="3.88671875" style="408" customWidth="1"/>
    <col min="1797" max="1799" width="16.6640625" style="408" customWidth="1"/>
    <col min="1800" max="1800" width="4.109375" style="408" customWidth="1"/>
    <col min="1801" max="1801" width="14" style="408" customWidth="1"/>
    <col min="1802" max="1802" width="15.88671875" style="408" customWidth="1"/>
    <col min="1803" max="1803" width="15.109375" style="408" customWidth="1"/>
    <col min="1804" max="1804" width="2.5546875" style="408" customWidth="1"/>
    <col min="1805" max="1805" width="14" style="408" bestFit="1" customWidth="1"/>
    <col min="1806" max="1806" width="15.88671875" style="408" bestFit="1" customWidth="1"/>
    <col min="1807" max="1807" width="16.88671875" style="408" customWidth="1"/>
    <col min="1808" max="2044" width="12.6640625" style="408"/>
    <col min="2045" max="2045" width="4.5546875" style="408" customWidth="1"/>
    <col min="2046" max="2046" width="56.109375" style="408" customWidth="1"/>
    <col min="2047" max="2047" width="14.5546875" style="408" customWidth="1"/>
    <col min="2048" max="2048" width="14.6640625" style="408" bestFit="1" customWidth="1"/>
    <col min="2049" max="2049" width="14.44140625" style="408" customWidth="1"/>
    <col min="2050" max="2050" width="17" style="408" customWidth="1"/>
    <col min="2051" max="2051" width="16.6640625" style="408" customWidth="1"/>
    <col min="2052" max="2052" width="3.88671875" style="408" customWidth="1"/>
    <col min="2053" max="2055" width="16.6640625" style="408" customWidth="1"/>
    <col min="2056" max="2056" width="4.109375" style="408" customWidth="1"/>
    <col min="2057" max="2057" width="14" style="408" customWidth="1"/>
    <col min="2058" max="2058" width="15.88671875" style="408" customWidth="1"/>
    <col min="2059" max="2059" width="15.109375" style="408" customWidth="1"/>
    <col min="2060" max="2060" width="2.5546875" style="408" customWidth="1"/>
    <col min="2061" max="2061" width="14" style="408" bestFit="1" customWidth="1"/>
    <col min="2062" max="2062" width="15.88671875" style="408" bestFit="1" customWidth="1"/>
    <col min="2063" max="2063" width="16.88671875" style="408" customWidth="1"/>
    <col min="2064" max="2300" width="12.6640625" style="408"/>
    <col min="2301" max="2301" width="4.5546875" style="408" customWidth="1"/>
    <col min="2302" max="2302" width="56.109375" style="408" customWidth="1"/>
    <col min="2303" max="2303" width="14.5546875" style="408" customWidth="1"/>
    <col min="2304" max="2304" width="14.6640625" style="408" bestFit="1" customWidth="1"/>
    <col min="2305" max="2305" width="14.44140625" style="408" customWidth="1"/>
    <col min="2306" max="2306" width="17" style="408" customWidth="1"/>
    <col min="2307" max="2307" width="16.6640625" style="408" customWidth="1"/>
    <col min="2308" max="2308" width="3.88671875" style="408" customWidth="1"/>
    <col min="2309" max="2311" width="16.6640625" style="408" customWidth="1"/>
    <col min="2312" max="2312" width="4.109375" style="408" customWidth="1"/>
    <col min="2313" max="2313" width="14" style="408" customWidth="1"/>
    <col min="2314" max="2314" width="15.88671875" style="408" customWidth="1"/>
    <col min="2315" max="2315" width="15.109375" style="408" customWidth="1"/>
    <col min="2316" max="2316" width="2.5546875" style="408" customWidth="1"/>
    <col min="2317" max="2317" width="14" style="408" bestFit="1" customWidth="1"/>
    <col min="2318" max="2318" width="15.88671875" style="408" bestFit="1" customWidth="1"/>
    <col min="2319" max="2319" width="16.88671875" style="408" customWidth="1"/>
    <col min="2320" max="2556" width="12.6640625" style="408"/>
    <col min="2557" max="2557" width="4.5546875" style="408" customWidth="1"/>
    <col min="2558" max="2558" width="56.109375" style="408" customWidth="1"/>
    <col min="2559" max="2559" width="14.5546875" style="408" customWidth="1"/>
    <col min="2560" max="2560" width="14.6640625" style="408" bestFit="1" customWidth="1"/>
    <col min="2561" max="2561" width="14.44140625" style="408" customWidth="1"/>
    <col min="2562" max="2562" width="17" style="408" customWidth="1"/>
    <col min="2563" max="2563" width="16.6640625" style="408" customWidth="1"/>
    <col min="2564" max="2564" width="3.88671875" style="408" customWidth="1"/>
    <col min="2565" max="2567" width="16.6640625" style="408" customWidth="1"/>
    <col min="2568" max="2568" width="4.109375" style="408" customWidth="1"/>
    <col min="2569" max="2569" width="14" style="408" customWidth="1"/>
    <col min="2570" max="2570" width="15.88671875" style="408" customWidth="1"/>
    <col min="2571" max="2571" width="15.109375" style="408" customWidth="1"/>
    <col min="2572" max="2572" width="2.5546875" style="408" customWidth="1"/>
    <col min="2573" max="2573" width="14" style="408" bestFit="1" customWidth="1"/>
    <col min="2574" max="2574" width="15.88671875" style="408" bestFit="1" customWidth="1"/>
    <col min="2575" max="2575" width="16.88671875" style="408" customWidth="1"/>
    <col min="2576" max="2812" width="12.6640625" style="408"/>
    <col min="2813" max="2813" width="4.5546875" style="408" customWidth="1"/>
    <col min="2814" max="2814" width="56.109375" style="408" customWidth="1"/>
    <col min="2815" max="2815" width="14.5546875" style="408" customWidth="1"/>
    <col min="2816" max="2816" width="14.6640625" style="408" bestFit="1" customWidth="1"/>
    <col min="2817" max="2817" width="14.44140625" style="408" customWidth="1"/>
    <col min="2818" max="2818" width="17" style="408" customWidth="1"/>
    <col min="2819" max="2819" width="16.6640625" style="408" customWidth="1"/>
    <col min="2820" max="2820" width="3.88671875" style="408" customWidth="1"/>
    <col min="2821" max="2823" width="16.6640625" style="408" customWidth="1"/>
    <col min="2824" max="2824" width="4.109375" style="408" customWidth="1"/>
    <col min="2825" max="2825" width="14" style="408" customWidth="1"/>
    <col min="2826" max="2826" width="15.88671875" style="408" customWidth="1"/>
    <col min="2827" max="2827" width="15.109375" style="408" customWidth="1"/>
    <col min="2828" max="2828" width="2.5546875" style="408" customWidth="1"/>
    <col min="2829" max="2829" width="14" style="408" bestFit="1" customWidth="1"/>
    <col min="2830" max="2830" width="15.88671875" style="408" bestFit="1" customWidth="1"/>
    <col min="2831" max="2831" width="16.88671875" style="408" customWidth="1"/>
    <col min="2832" max="3068" width="12.6640625" style="408"/>
    <col min="3069" max="3069" width="4.5546875" style="408" customWidth="1"/>
    <col min="3070" max="3070" width="56.109375" style="408" customWidth="1"/>
    <col min="3071" max="3071" width="14.5546875" style="408" customWidth="1"/>
    <col min="3072" max="3072" width="14.6640625" style="408" bestFit="1" customWidth="1"/>
    <col min="3073" max="3073" width="14.44140625" style="408" customWidth="1"/>
    <col min="3074" max="3074" width="17" style="408" customWidth="1"/>
    <col min="3075" max="3075" width="16.6640625" style="408" customWidth="1"/>
    <col min="3076" max="3076" width="3.88671875" style="408" customWidth="1"/>
    <col min="3077" max="3079" width="16.6640625" style="408" customWidth="1"/>
    <col min="3080" max="3080" width="4.109375" style="408" customWidth="1"/>
    <col min="3081" max="3081" width="14" style="408" customWidth="1"/>
    <col min="3082" max="3082" width="15.88671875" style="408" customWidth="1"/>
    <col min="3083" max="3083" width="15.109375" style="408" customWidth="1"/>
    <col min="3084" max="3084" width="2.5546875" style="408" customWidth="1"/>
    <col min="3085" max="3085" width="14" style="408" bestFit="1" customWidth="1"/>
    <col min="3086" max="3086" width="15.88671875" style="408" bestFit="1" customWidth="1"/>
    <col min="3087" max="3087" width="16.88671875" style="408" customWidth="1"/>
    <col min="3088" max="3324" width="12.6640625" style="408"/>
    <col min="3325" max="3325" width="4.5546875" style="408" customWidth="1"/>
    <col min="3326" max="3326" width="56.109375" style="408" customWidth="1"/>
    <col min="3327" max="3327" width="14.5546875" style="408" customWidth="1"/>
    <col min="3328" max="3328" width="14.6640625" style="408" bestFit="1" customWidth="1"/>
    <col min="3329" max="3329" width="14.44140625" style="408" customWidth="1"/>
    <col min="3330" max="3330" width="17" style="408" customWidth="1"/>
    <col min="3331" max="3331" width="16.6640625" style="408" customWidth="1"/>
    <col min="3332" max="3332" width="3.88671875" style="408" customWidth="1"/>
    <col min="3333" max="3335" width="16.6640625" style="408" customWidth="1"/>
    <col min="3336" max="3336" width="4.109375" style="408" customWidth="1"/>
    <col min="3337" max="3337" width="14" style="408" customWidth="1"/>
    <col min="3338" max="3338" width="15.88671875" style="408" customWidth="1"/>
    <col min="3339" max="3339" width="15.109375" style="408" customWidth="1"/>
    <col min="3340" max="3340" width="2.5546875" style="408" customWidth="1"/>
    <col min="3341" max="3341" width="14" style="408" bestFit="1" customWidth="1"/>
    <col min="3342" max="3342" width="15.88671875" style="408" bestFit="1" customWidth="1"/>
    <col min="3343" max="3343" width="16.88671875" style="408" customWidth="1"/>
    <col min="3344" max="3580" width="12.6640625" style="408"/>
    <col min="3581" max="3581" width="4.5546875" style="408" customWidth="1"/>
    <col min="3582" max="3582" width="56.109375" style="408" customWidth="1"/>
    <col min="3583" max="3583" width="14.5546875" style="408" customWidth="1"/>
    <col min="3584" max="3584" width="14.6640625" style="408" bestFit="1" customWidth="1"/>
    <col min="3585" max="3585" width="14.44140625" style="408" customWidth="1"/>
    <col min="3586" max="3586" width="17" style="408" customWidth="1"/>
    <col min="3587" max="3587" width="16.6640625" style="408" customWidth="1"/>
    <col min="3588" max="3588" width="3.88671875" style="408" customWidth="1"/>
    <col min="3589" max="3591" width="16.6640625" style="408" customWidth="1"/>
    <col min="3592" max="3592" width="4.109375" style="408" customWidth="1"/>
    <col min="3593" max="3593" width="14" style="408" customWidth="1"/>
    <col min="3594" max="3594" width="15.88671875" style="408" customWidth="1"/>
    <col min="3595" max="3595" width="15.109375" style="408" customWidth="1"/>
    <col min="3596" max="3596" width="2.5546875" style="408" customWidth="1"/>
    <col min="3597" max="3597" width="14" style="408" bestFit="1" customWidth="1"/>
    <col min="3598" max="3598" width="15.88671875" style="408" bestFit="1" customWidth="1"/>
    <col min="3599" max="3599" width="16.88671875" style="408" customWidth="1"/>
    <col min="3600" max="3836" width="12.6640625" style="408"/>
    <col min="3837" max="3837" width="4.5546875" style="408" customWidth="1"/>
    <col min="3838" max="3838" width="56.109375" style="408" customWidth="1"/>
    <col min="3839" max="3839" width="14.5546875" style="408" customWidth="1"/>
    <col min="3840" max="3840" width="14.6640625" style="408" bestFit="1" customWidth="1"/>
    <col min="3841" max="3841" width="14.44140625" style="408" customWidth="1"/>
    <col min="3842" max="3842" width="17" style="408" customWidth="1"/>
    <col min="3843" max="3843" width="16.6640625" style="408" customWidth="1"/>
    <col min="3844" max="3844" width="3.88671875" style="408" customWidth="1"/>
    <col min="3845" max="3847" width="16.6640625" style="408" customWidth="1"/>
    <col min="3848" max="3848" width="4.109375" style="408" customWidth="1"/>
    <col min="3849" max="3849" width="14" style="408" customWidth="1"/>
    <col min="3850" max="3850" width="15.88671875" style="408" customWidth="1"/>
    <col min="3851" max="3851" width="15.109375" style="408" customWidth="1"/>
    <col min="3852" max="3852" width="2.5546875" style="408" customWidth="1"/>
    <col min="3853" max="3853" width="14" style="408" bestFit="1" customWidth="1"/>
    <col min="3854" max="3854" width="15.88671875" style="408" bestFit="1" customWidth="1"/>
    <col min="3855" max="3855" width="16.88671875" style="408" customWidth="1"/>
    <col min="3856" max="4092" width="12.6640625" style="408"/>
    <col min="4093" max="4093" width="4.5546875" style="408" customWidth="1"/>
    <col min="4094" max="4094" width="56.109375" style="408" customWidth="1"/>
    <col min="4095" max="4095" width="14.5546875" style="408" customWidth="1"/>
    <col min="4096" max="4096" width="14.6640625" style="408" bestFit="1" customWidth="1"/>
    <col min="4097" max="4097" width="14.44140625" style="408" customWidth="1"/>
    <col min="4098" max="4098" width="17" style="408" customWidth="1"/>
    <col min="4099" max="4099" width="16.6640625" style="408" customWidth="1"/>
    <col min="4100" max="4100" width="3.88671875" style="408" customWidth="1"/>
    <col min="4101" max="4103" width="16.6640625" style="408" customWidth="1"/>
    <col min="4104" max="4104" width="4.109375" style="408" customWidth="1"/>
    <col min="4105" max="4105" width="14" style="408" customWidth="1"/>
    <col min="4106" max="4106" width="15.88671875" style="408" customWidth="1"/>
    <col min="4107" max="4107" width="15.109375" style="408" customWidth="1"/>
    <col min="4108" max="4108" width="2.5546875" style="408" customWidth="1"/>
    <col min="4109" max="4109" width="14" style="408" bestFit="1" customWidth="1"/>
    <col min="4110" max="4110" width="15.88671875" style="408" bestFit="1" customWidth="1"/>
    <col min="4111" max="4111" width="16.88671875" style="408" customWidth="1"/>
    <col min="4112" max="4348" width="12.6640625" style="408"/>
    <col min="4349" max="4349" width="4.5546875" style="408" customWidth="1"/>
    <col min="4350" max="4350" width="56.109375" style="408" customWidth="1"/>
    <col min="4351" max="4351" width="14.5546875" style="408" customWidth="1"/>
    <col min="4352" max="4352" width="14.6640625" style="408" bestFit="1" customWidth="1"/>
    <col min="4353" max="4353" width="14.44140625" style="408" customWidth="1"/>
    <col min="4354" max="4354" width="17" style="408" customWidth="1"/>
    <col min="4355" max="4355" width="16.6640625" style="408" customWidth="1"/>
    <col min="4356" max="4356" width="3.88671875" style="408" customWidth="1"/>
    <col min="4357" max="4359" width="16.6640625" style="408" customWidth="1"/>
    <col min="4360" max="4360" width="4.109375" style="408" customWidth="1"/>
    <col min="4361" max="4361" width="14" style="408" customWidth="1"/>
    <col min="4362" max="4362" width="15.88671875" style="408" customWidth="1"/>
    <col min="4363" max="4363" width="15.109375" style="408" customWidth="1"/>
    <col min="4364" max="4364" width="2.5546875" style="408" customWidth="1"/>
    <col min="4365" max="4365" width="14" style="408" bestFit="1" customWidth="1"/>
    <col min="4366" max="4366" width="15.88671875" style="408" bestFit="1" customWidth="1"/>
    <col min="4367" max="4367" width="16.88671875" style="408" customWidth="1"/>
    <col min="4368" max="4604" width="12.6640625" style="408"/>
    <col min="4605" max="4605" width="4.5546875" style="408" customWidth="1"/>
    <col min="4606" max="4606" width="56.109375" style="408" customWidth="1"/>
    <col min="4607" max="4607" width="14.5546875" style="408" customWidth="1"/>
    <col min="4608" max="4608" width="14.6640625" style="408" bestFit="1" customWidth="1"/>
    <col min="4609" max="4609" width="14.44140625" style="408" customWidth="1"/>
    <col min="4610" max="4610" width="17" style="408" customWidth="1"/>
    <col min="4611" max="4611" width="16.6640625" style="408" customWidth="1"/>
    <col min="4612" max="4612" width="3.88671875" style="408" customWidth="1"/>
    <col min="4613" max="4615" width="16.6640625" style="408" customWidth="1"/>
    <col min="4616" max="4616" width="4.109375" style="408" customWidth="1"/>
    <col min="4617" max="4617" width="14" style="408" customWidth="1"/>
    <col min="4618" max="4618" width="15.88671875" style="408" customWidth="1"/>
    <col min="4619" max="4619" width="15.109375" style="408" customWidth="1"/>
    <col min="4620" max="4620" width="2.5546875" style="408" customWidth="1"/>
    <col min="4621" max="4621" width="14" style="408" bestFit="1" customWidth="1"/>
    <col min="4622" max="4622" width="15.88671875" style="408" bestFit="1" customWidth="1"/>
    <col min="4623" max="4623" width="16.88671875" style="408" customWidth="1"/>
    <col min="4624" max="4860" width="12.6640625" style="408"/>
    <col min="4861" max="4861" width="4.5546875" style="408" customWidth="1"/>
    <col min="4862" max="4862" width="56.109375" style="408" customWidth="1"/>
    <col min="4863" max="4863" width="14.5546875" style="408" customWidth="1"/>
    <col min="4864" max="4864" width="14.6640625" style="408" bestFit="1" customWidth="1"/>
    <col min="4865" max="4865" width="14.44140625" style="408" customWidth="1"/>
    <col min="4866" max="4866" width="17" style="408" customWidth="1"/>
    <col min="4867" max="4867" width="16.6640625" style="408" customWidth="1"/>
    <col min="4868" max="4868" width="3.88671875" style="408" customWidth="1"/>
    <col min="4869" max="4871" width="16.6640625" style="408" customWidth="1"/>
    <col min="4872" max="4872" width="4.109375" style="408" customWidth="1"/>
    <col min="4873" max="4873" width="14" style="408" customWidth="1"/>
    <col min="4874" max="4874" width="15.88671875" style="408" customWidth="1"/>
    <col min="4875" max="4875" width="15.109375" style="408" customWidth="1"/>
    <col min="4876" max="4876" width="2.5546875" style="408" customWidth="1"/>
    <col min="4877" max="4877" width="14" style="408" bestFit="1" customWidth="1"/>
    <col min="4878" max="4878" width="15.88671875" style="408" bestFit="1" customWidth="1"/>
    <col min="4879" max="4879" width="16.88671875" style="408" customWidth="1"/>
    <col min="4880" max="5116" width="12.6640625" style="408"/>
    <col min="5117" max="5117" width="4.5546875" style="408" customWidth="1"/>
    <col min="5118" max="5118" width="56.109375" style="408" customWidth="1"/>
    <col min="5119" max="5119" width="14.5546875" style="408" customWidth="1"/>
    <col min="5120" max="5120" width="14.6640625" style="408" bestFit="1" customWidth="1"/>
    <col min="5121" max="5121" width="14.44140625" style="408" customWidth="1"/>
    <col min="5122" max="5122" width="17" style="408" customWidth="1"/>
    <col min="5123" max="5123" width="16.6640625" style="408" customWidth="1"/>
    <col min="5124" max="5124" width="3.88671875" style="408" customWidth="1"/>
    <col min="5125" max="5127" width="16.6640625" style="408" customWidth="1"/>
    <col min="5128" max="5128" width="4.109375" style="408" customWidth="1"/>
    <col min="5129" max="5129" width="14" style="408" customWidth="1"/>
    <col min="5130" max="5130" width="15.88671875" style="408" customWidth="1"/>
    <col min="5131" max="5131" width="15.109375" style="408" customWidth="1"/>
    <col min="5132" max="5132" width="2.5546875" style="408" customWidth="1"/>
    <col min="5133" max="5133" width="14" style="408" bestFit="1" customWidth="1"/>
    <col min="5134" max="5134" width="15.88671875" style="408" bestFit="1" customWidth="1"/>
    <col min="5135" max="5135" width="16.88671875" style="408" customWidth="1"/>
    <col min="5136" max="5372" width="12.6640625" style="408"/>
    <col min="5373" max="5373" width="4.5546875" style="408" customWidth="1"/>
    <col min="5374" max="5374" width="56.109375" style="408" customWidth="1"/>
    <col min="5375" max="5375" width="14.5546875" style="408" customWidth="1"/>
    <col min="5376" max="5376" width="14.6640625" style="408" bestFit="1" customWidth="1"/>
    <col min="5377" max="5377" width="14.44140625" style="408" customWidth="1"/>
    <col min="5378" max="5378" width="17" style="408" customWidth="1"/>
    <col min="5379" max="5379" width="16.6640625" style="408" customWidth="1"/>
    <col min="5380" max="5380" width="3.88671875" style="408" customWidth="1"/>
    <col min="5381" max="5383" width="16.6640625" style="408" customWidth="1"/>
    <col min="5384" max="5384" width="4.109375" style="408" customWidth="1"/>
    <col min="5385" max="5385" width="14" style="408" customWidth="1"/>
    <col min="5386" max="5386" width="15.88671875" style="408" customWidth="1"/>
    <col min="5387" max="5387" width="15.109375" style="408" customWidth="1"/>
    <col min="5388" max="5388" width="2.5546875" style="408" customWidth="1"/>
    <col min="5389" max="5389" width="14" style="408" bestFit="1" customWidth="1"/>
    <col min="5390" max="5390" width="15.88671875" style="408" bestFit="1" customWidth="1"/>
    <col min="5391" max="5391" width="16.88671875" style="408" customWidth="1"/>
    <col min="5392" max="5628" width="12.6640625" style="408"/>
    <col min="5629" max="5629" width="4.5546875" style="408" customWidth="1"/>
    <col min="5630" max="5630" width="56.109375" style="408" customWidth="1"/>
    <col min="5631" max="5631" width="14.5546875" style="408" customWidth="1"/>
    <col min="5632" max="5632" width="14.6640625" style="408" bestFit="1" customWidth="1"/>
    <col min="5633" max="5633" width="14.44140625" style="408" customWidth="1"/>
    <col min="5634" max="5634" width="17" style="408" customWidth="1"/>
    <col min="5635" max="5635" width="16.6640625" style="408" customWidth="1"/>
    <col min="5636" max="5636" width="3.88671875" style="408" customWidth="1"/>
    <col min="5637" max="5639" width="16.6640625" style="408" customWidth="1"/>
    <col min="5640" max="5640" width="4.109375" style="408" customWidth="1"/>
    <col min="5641" max="5641" width="14" style="408" customWidth="1"/>
    <col min="5642" max="5642" width="15.88671875" style="408" customWidth="1"/>
    <col min="5643" max="5643" width="15.109375" style="408" customWidth="1"/>
    <col min="5644" max="5644" width="2.5546875" style="408" customWidth="1"/>
    <col min="5645" max="5645" width="14" style="408" bestFit="1" customWidth="1"/>
    <col min="5646" max="5646" width="15.88671875" style="408" bestFit="1" customWidth="1"/>
    <col min="5647" max="5647" width="16.88671875" style="408" customWidth="1"/>
    <col min="5648" max="5884" width="12.6640625" style="408"/>
    <col min="5885" max="5885" width="4.5546875" style="408" customWidth="1"/>
    <col min="5886" max="5886" width="56.109375" style="408" customWidth="1"/>
    <col min="5887" max="5887" width="14.5546875" style="408" customWidth="1"/>
    <col min="5888" max="5888" width="14.6640625" style="408" bestFit="1" customWidth="1"/>
    <col min="5889" max="5889" width="14.44140625" style="408" customWidth="1"/>
    <col min="5890" max="5890" width="17" style="408" customWidth="1"/>
    <col min="5891" max="5891" width="16.6640625" style="408" customWidth="1"/>
    <col min="5892" max="5892" width="3.88671875" style="408" customWidth="1"/>
    <col min="5893" max="5895" width="16.6640625" style="408" customWidth="1"/>
    <col min="5896" max="5896" width="4.109375" style="408" customWidth="1"/>
    <col min="5897" max="5897" width="14" style="408" customWidth="1"/>
    <col min="5898" max="5898" width="15.88671875" style="408" customWidth="1"/>
    <col min="5899" max="5899" width="15.109375" style="408" customWidth="1"/>
    <col min="5900" max="5900" width="2.5546875" style="408" customWidth="1"/>
    <col min="5901" max="5901" width="14" style="408" bestFit="1" customWidth="1"/>
    <col min="5902" max="5902" width="15.88671875" style="408" bestFit="1" customWidth="1"/>
    <col min="5903" max="5903" width="16.88671875" style="408" customWidth="1"/>
    <col min="5904" max="6140" width="12.6640625" style="408"/>
    <col min="6141" max="6141" width="4.5546875" style="408" customWidth="1"/>
    <col min="6142" max="6142" width="56.109375" style="408" customWidth="1"/>
    <col min="6143" max="6143" width="14.5546875" style="408" customWidth="1"/>
    <col min="6144" max="6144" width="14.6640625" style="408" bestFit="1" customWidth="1"/>
    <col min="6145" max="6145" width="14.44140625" style="408" customWidth="1"/>
    <col min="6146" max="6146" width="17" style="408" customWidth="1"/>
    <col min="6147" max="6147" width="16.6640625" style="408" customWidth="1"/>
    <col min="6148" max="6148" width="3.88671875" style="408" customWidth="1"/>
    <col min="6149" max="6151" width="16.6640625" style="408" customWidth="1"/>
    <col min="6152" max="6152" width="4.109375" style="408" customWidth="1"/>
    <col min="6153" max="6153" width="14" style="408" customWidth="1"/>
    <col min="6154" max="6154" width="15.88671875" style="408" customWidth="1"/>
    <col min="6155" max="6155" width="15.109375" style="408" customWidth="1"/>
    <col min="6156" max="6156" width="2.5546875" style="408" customWidth="1"/>
    <col min="6157" max="6157" width="14" style="408" bestFit="1" customWidth="1"/>
    <col min="6158" max="6158" width="15.88671875" style="408" bestFit="1" customWidth="1"/>
    <col min="6159" max="6159" width="16.88671875" style="408" customWidth="1"/>
    <col min="6160" max="6396" width="12.6640625" style="408"/>
    <col min="6397" max="6397" width="4.5546875" style="408" customWidth="1"/>
    <col min="6398" max="6398" width="56.109375" style="408" customWidth="1"/>
    <col min="6399" max="6399" width="14.5546875" style="408" customWidth="1"/>
    <col min="6400" max="6400" width="14.6640625" style="408" bestFit="1" customWidth="1"/>
    <col min="6401" max="6401" width="14.44140625" style="408" customWidth="1"/>
    <col min="6402" max="6402" width="17" style="408" customWidth="1"/>
    <col min="6403" max="6403" width="16.6640625" style="408" customWidth="1"/>
    <col min="6404" max="6404" width="3.88671875" style="408" customWidth="1"/>
    <col min="6405" max="6407" width="16.6640625" style="408" customWidth="1"/>
    <col min="6408" max="6408" width="4.109375" style="408" customWidth="1"/>
    <col min="6409" max="6409" width="14" style="408" customWidth="1"/>
    <col min="6410" max="6410" width="15.88671875" style="408" customWidth="1"/>
    <col min="6411" max="6411" width="15.109375" style="408" customWidth="1"/>
    <col min="6412" max="6412" width="2.5546875" style="408" customWidth="1"/>
    <col min="6413" max="6413" width="14" style="408" bestFit="1" customWidth="1"/>
    <col min="6414" max="6414" width="15.88671875" style="408" bestFit="1" customWidth="1"/>
    <col min="6415" max="6415" width="16.88671875" style="408" customWidth="1"/>
    <col min="6416" max="6652" width="12.6640625" style="408"/>
    <col min="6653" max="6653" width="4.5546875" style="408" customWidth="1"/>
    <col min="6654" max="6654" width="56.109375" style="408" customWidth="1"/>
    <col min="6655" max="6655" width="14.5546875" style="408" customWidth="1"/>
    <col min="6656" max="6656" width="14.6640625" style="408" bestFit="1" customWidth="1"/>
    <col min="6657" max="6657" width="14.44140625" style="408" customWidth="1"/>
    <col min="6658" max="6658" width="17" style="408" customWidth="1"/>
    <col min="6659" max="6659" width="16.6640625" style="408" customWidth="1"/>
    <col min="6660" max="6660" width="3.88671875" style="408" customWidth="1"/>
    <col min="6661" max="6663" width="16.6640625" style="408" customWidth="1"/>
    <col min="6664" max="6664" width="4.109375" style="408" customWidth="1"/>
    <col min="6665" max="6665" width="14" style="408" customWidth="1"/>
    <col min="6666" max="6666" width="15.88671875" style="408" customWidth="1"/>
    <col min="6667" max="6667" width="15.109375" style="408" customWidth="1"/>
    <col min="6668" max="6668" width="2.5546875" style="408" customWidth="1"/>
    <col min="6669" max="6669" width="14" style="408" bestFit="1" customWidth="1"/>
    <col min="6670" max="6670" width="15.88671875" style="408" bestFit="1" customWidth="1"/>
    <col min="6671" max="6671" width="16.88671875" style="408" customWidth="1"/>
    <col min="6672" max="6908" width="12.6640625" style="408"/>
    <col min="6909" max="6909" width="4.5546875" style="408" customWidth="1"/>
    <col min="6910" max="6910" width="56.109375" style="408" customWidth="1"/>
    <col min="6911" max="6911" width="14.5546875" style="408" customWidth="1"/>
    <col min="6912" max="6912" width="14.6640625" style="408" bestFit="1" customWidth="1"/>
    <col min="6913" max="6913" width="14.44140625" style="408" customWidth="1"/>
    <col min="6914" max="6914" width="17" style="408" customWidth="1"/>
    <col min="6915" max="6915" width="16.6640625" style="408" customWidth="1"/>
    <col min="6916" max="6916" width="3.88671875" style="408" customWidth="1"/>
    <col min="6917" max="6919" width="16.6640625" style="408" customWidth="1"/>
    <col min="6920" max="6920" width="4.109375" style="408" customWidth="1"/>
    <col min="6921" max="6921" width="14" style="408" customWidth="1"/>
    <col min="6922" max="6922" width="15.88671875" style="408" customWidth="1"/>
    <col min="6923" max="6923" width="15.109375" style="408" customWidth="1"/>
    <col min="6924" max="6924" width="2.5546875" style="408" customWidth="1"/>
    <col min="6925" max="6925" width="14" style="408" bestFit="1" customWidth="1"/>
    <col min="6926" max="6926" width="15.88671875" style="408" bestFit="1" customWidth="1"/>
    <col min="6927" max="6927" width="16.88671875" style="408" customWidth="1"/>
    <col min="6928" max="7164" width="12.6640625" style="408"/>
    <col min="7165" max="7165" width="4.5546875" style="408" customWidth="1"/>
    <col min="7166" max="7166" width="56.109375" style="408" customWidth="1"/>
    <col min="7167" max="7167" width="14.5546875" style="408" customWidth="1"/>
    <col min="7168" max="7168" width="14.6640625" style="408" bestFit="1" customWidth="1"/>
    <col min="7169" max="7169" width="14.44140625" style="408" customWidth="1"/>
    <col min="7170" max="7170" width="17" style="408" customWidth="1"/>
    <col min="7171" max="7171" width="16.6640625" style="408" customWidth="1"/>
    <col min="7172" max="7172" width="3.88671875" style="408" customWidth="1"/>
    <col min="7173" max="7175" width="16.6640625" style="408" customWidth="1"/>
    <col min="7176" max="7176" width="4.109375" style="408" customWidth="1"/>
    <col min="7177" max="7177" width="14" style="408" customWidth="1"/>
    <col min="7178" max="7178" width="15.88671875" style="408" customWidth="1"/>
    <col min="7179" max="7179" width="15.109375" style="408" customWidth="1"/>
    <col min="7180" max="7180" width="2.5546875" style="408" customWidth="1"/>
    <col min="7181" max="7181" width="14" style="408" bestFit="1" customWidth="1"/>
    <col min="7182" max="7182" width="15.88671875" style="408" bestFit="1" customWidth="1"/>
    <col min="7183" max="7183" width="16.88671875" style="408" customWidth="1"/>
    <col min="7184" max="7420" width="12.6640625" style="408"/>
    <col min="7421" max="7421" width="4.5546875" style="408" customWidth="1"/>
    <col min="7422" max="7422" width="56.109375" style="408" customWidth="1"/>
    <col min="7423" max="7423" width="14.5546875" style="408" customWidth="1"/>
    <col min="7424" max="7424" width="14.6640625" style="408" bestFit="1" customWidth="1"/>
    <col min="7425" max="7425" width="14.44140625" style="408" customWidth="1"/>
    <col min="7426" max="7426" width="17" style="408" customWidth="1"/>
    <col min="7427" max="7427" width="16.6640625" style="408" customWidth="1"/>
    <col min="7428" max="7428" width="3.88671875" style="408" customWidth="1"/>
    <col min="7429" max="7431" width="16.6640625" style="408" customWidth="1"/>
    <col min="7432" max="7432" width="4.109375" style="408" customWidth="1"/>
    <col min="7433" max="7433" width="14" style="408" customWidth="1"/>
    <col min="7434" max="7434" width="15.88671875" style="408" customWidth="1"/>
    <col min="7435" max="7435" width="15.109375" style="408" customWidth="1"/>
    <col min="7436" max="7436" width="2.5546875" style="408" customWidth="1"/>
    <col min="7437" max="7437" width="14" style="408" bestFit="1" customWidth="1"/>
    <col min="7438" max="7438" width="15.88671875" style="408" bestFit="1" customWidth="1"/>
    <col min="7439" max="7439" width="16.88671875" style="408" customWidth="1"/>
    <col min="7440" max="7676" width="12.6640625" style="408"/>
    <col min="7677" max="7677" width="4.5546875" style="408" customWidth="1"/>
    <col min="7678" max="7678" width="56.109375" style="408" customWidth="1"/>
    <col min="7679" max="7679" width="14.5546875" style="408" customWidth="1"/>
    <col min="7680" max="7680" width="14.6640625" style="408" bestFit="1" customWidth="1"/>
    <col min="7681" max="7681" width="14.44140625" style="408" customWidth="1"/>
    <col min="7682" max="7682" width="17" style="408" customWidth="1"/>
    <col min="7683" max="7683" width="16.6640625" style="408" customWidth="1"/>
    <col min="7684" max="7684" width="3.88671875" style="408" customWidth="1"/>
    <col min="7685" max="7687" width="16.6640625" style="408" customWidth="1"/>
    <col min="7688" max="7688" width="4.109375" style="408" customWidth="1"/>
    <col min="7689" max="7689" width="14" style="408" customWidth="1"/>
    <col min="7690" max="7690" width="15.88671875" style="408" customWidth="1"/>
    <col min="7691" max="7691" width="15.109375" style="408" customWidth="1"/>
    <col min="7692" max="7692" width="2.5546875" style="408" customWidth="1"/>
    <col min="7693" max="7693" width="14" style="408" bestFit="1" customWidth="1"/>
    <col min="7694" max="7694" width="15.88671875" style="408" bestFit="1" customWidth="1"/>
    <col min="7695" max="7695" width="16.88671875" style="408" customWidth="1"/>
    <col min="7696" max="7932" width="12.6640625" style="408"/>
    <col min="7933" max="7933" width="4.5546875" style="408" customWidth="1"/>
    <col min="7934" max="7934" width="56.109375" style="408" customWidth="1"/>
    <col min="7935" max="7935" width="14.5546875" style="408" customWidth="1"/>
    <col min="7936" max="7936" width="14.6640625" style="408" bestFit="1" customWidth="1"/>
    <col min="7937" max="7937" width="14.44140625" style="408" customWidth="1"/>
    <col min="7938" max="7938" width="17" style="408" customWidth="1"/>
    <col min="7939" max="7939" width="16.6640625" style="408" customWidth="1"/>
    <col min="7940" max="7940" width="3.88671875" style="408" customWidth="1"/>
    <col min="7941" max="7943" width="16.6640625" style="408" customWidth="1"/>
    <col min="7944" max="7944" width="4.109375" style="408" customWidth="1"/>
    <col min="7945" max="7945" width="14" style="408" customWidth="1"/>
    <col min="7946" max="7946" width="15.88671875" style="408" customWidth="1"/>
    <col min="7947" max="7947" width="15.109375" style="408" customWidth="1"/>
    <col min="7948" max="7948" width="2.5546875" style="408" customWidth="1"/>
    <col min="7949" max="7949" width="14" style="408" bestFit="1" customWidth="1"/>
    <col min="7950" max="7950" width="15.88671875" style="408" bestFit="1" customWidth="1"/>
    <col min="7951" max="7951" width="16.88671875" style="408" customWidth="1"/>
    <col min="7952" max="8188" width="12.6640625" style="408"/>
    <col min="8189" max="8189" width="4.5546875" style="408" customWidth="1"/>
    <col min="8190" max="8190" width="56.109375" style="408" customWidth="1"/>
    <col min="8191" max="8191" width="14.5546875" style="408" customWidth="1"/>
    <col min="8192" max="8192" width="14.6640625" style="408" bestFit="1" customWidth="1"/>
    <col min="8193" max="8193" width="14.44140625" style="408" customWidth="1"/>
    <col min="8194" max="8194" width="17" style="408" customWidth="1"/>
    <col min="8195" max="8195" width="16.6640625" style="408" customWidth="1"/>
    <col min="8196" max="8196" width="3.88671875" style="408" customWidth="1"/>
    <col min="8197" max="8199" width="16.6640625" style="408" customWidth="1"/>
    <col min="8200" max="8200" width="4.109375" style="408" customWidth="1"/>
    <col min="8201" max="8201" width="14" style="408" customWidth="1"/>
    <col min="8202" max="8202" width="15.88671875" style="408" customWidth="1"/>
    <col min="8203" max="8203" width="15.109375" style="408" customWidth="1"/>
    <col min="8204" max="8204" width="2.5546875" style="408" customWidth="1"/>
    <col min="8205" max="8205" width="14" style="408" bestFit="1" customWidth="1"/>
    <col min="8206" max="8206" width="15.88671875" style="408" bestFit="1" customWidth="1"/>
    <col min="8207" max="8207" width="16.88671875" style="408" customWidth="1"/>
    <col min="8208" max="8444" width="12.6640625" style="408"/>
    <col min="8445" max="8445" width="4.5546875" style="408" customWidth="1"/>
    <col min="8446" max="8446" width="56.109375" style="408" customWidth="1"/>
    <col min="8447" max="8447" width="14.5546875" style="408" customWidth="1"/>
    <col min="8448" max="8448" width="14.6640625" style="408" bestFit="1" customWidth="1"/>
    <col min="8449" max="8449" width="14.44140625" style="408" customWidth="1"/>
    <col min="8450" max="8450" width="17" style="408" customWidth="1"/>
    <col min="8451" max="8451" width="16.6640625" style="408" customWidth="1"/>
    <col min="8452" max="8452" width="3.88671875" style="408" customWidth="1"/>
    <col min="8453" max="8455" width="16.6640625" style="408" customWidth="1"/>
    <col min="8456" max="8456" width="4.109375" style="408" customWidth="1"/>
    <col min="8457" max="8457" width="14" style="408" customWidth="1"/>
    <col min="8458" max="8458" width="15.88671875" style="408" customWidth="1"/>
    <col min="8459" max="8459" width="15.109375" style="408" customWidth="1"/>
    <col min="8460" max="8460" width="2.5546875" style="408" customWidth="1"/>
    <col min="8461" max="8461" width="14" style="408" bestFit="1" customWidth="1"/>
    <col min="8462" max="8462" width="15.88671875" style="408" bestFit="1" customWidth="1"/>
    <col min="8463" max="8463" width="16.88671875" style="408" customWidth="1"/>
    <col min="8464" max="8700" width="12.6640625" style="408"/>
    <col min="8701" max="8701" width="4.5546875" style="408" customWidth="1"/>
    <col min="8702" max="8702" width="56.109375" style="408" customWidth="1"/>
    <col min="8703" max="8703" width="14.5546875" style="408" customWidth="1"/>
    <col min="8704" max="8704" width="14.6640625" style="408" bestFit="1" customWidth="1"/>
    <col min="8705" max="8705" width="14.44140625" style="408" customWidth="1"/>
    <col min="8706" max="8706" width="17" style="408" customWidth="1"/>
    <col min="8707" max="8707" width="16.6640625" style="408" customWidth="1"/>
    <col min="8708" max="8708" width="3.88671875" style="408" customWidth="1"/>
    <col min="8709" max="8711" width="16.6640625" style="408" customWidth="1"/>
    <col min="8712" max="8712" width="4.109375" style="408" customWidth="1"/>
    <col min="8713" max="8713" width="14" style="408" customWidth="1"/>
    <col min="8714" max="8714" width="15.88671875" style="408" customWidth="1"/>
    <col min="8715" max="8715" width="15.109375" style="408" customWidth="1"/>
    <col min="8716" max="8716" width="2.5546875" style="408" customWidth="1"/>
    <col min="8717" max="8717" width="14" style="408" bestFit="1" customWidth="1"/>
    <col min="8718" max="8718" width="15.88671875" style="408" bestFit="1" customWidth="1"/>
    <col min="8719" max="8719" width="16.88671875" style="408" customWidth="1"/>
    <col min="8720" max="8956" width="12.6640625" style="408"/>
    <col min="8957" max="8957" width="4.5546875" style="408" customWidth="1"/>
    <col min="8958" max="8958" width="56.109375" style="408" customWidth="1"/>
    <col min="8959" max="8959" width="14.5546875" style="408" customWidth="1"/>
    <col min="8960" max="8960" width="14.6640625" style="408" bestFit="1" customWidth="1"/>
    <col min="8961" max="8961" width="14.44140625" style="408" customWidth="1"/>
    <col min="8962" max="8962" width="17" style="408" customWidth="1"/>
    <col min="8963" max="8963" width="16.6640625" style="408" customWidth="1"/>
    <col min="8964" max="8964" width="3.88671875" style="408" customWidth="1"/>
    <col min="8965" max="8967" width="16.6640625" style="408" customWidth="1"/>
    <col min="8968" max="8968" width="4.109375" style="408" customWidth="1"/>
    <col min="8969" max="8969" width="14" style="408" customWidth="1"/>
    <col min="8970" max="8970" width="15.88671875" style="408" customWidth="1"/>
    <col min="8971" max="8971" width="15.109375" style="408" customWidth="1"/>
    <col min="8972" max="8972" width="2.5546875" style="408" customWidth="1"/>
    <col min="8973" max="8973" width="14" style="408" bestFit="1" customWidth="1"/>
    <col min="8974" max="8974" width="15.88671875" style="408" bestFit="1" customWidth="1"/>
    <col min="8975" max="8975" width="16.88671875" style="408" customWidth="1"/>
    <col min="8976" max="9212" width="12.6640625" style="408"/>
    <col min="9213" max="9213" width="4.5546875" style="408" customWidth="1"/>
    <col min="9214" max="9214" width="56.109375" style="408" customWidth="1"/>
    <col min="9215" max="9215" width="14.5546875" style="408" customWidth="1"/>
    <col min="9216" max="9216" width="14.6640625" style="408" bestFit="1" customWidth="1"/>
    <col min="9217" max="9217" width="14.44140625" style="408" customWidth="1"/>
    <col min="9218" max="9218" width="17" style="408" customWidth="1"/>
    <col min="9219" max="9219" width="16.6640625" style="408" customWidth="1"/>
    <col min="9220" max="9220" width="3.88671875" style="408" customWidth="1"/>
    <col min="9221" max="9223" width="16.6640625" style="408" customWidth="1"/>
    <col min="9224" max="9224" width="4.109375" style="408" customWidth="1"/>
    <col min="9225" max="9225" width="14" style="408" customWidth="1"/>
    <col min="9226" max="9226" width="15.88671875" style="408" customWidth="1"/>
    <col min="9227" max="9227" width="15.109375" style="408" customWidth="1"/>
    <col min="9228" max="9228" width="2.5546875" style="408" customWidth="1"/>
    <col min="9229" max="9229" width="14" style="408" bestFit="1" customWidth="1"/>
    <col min="9230" max="9230" width="15.88671875" style="408" bestFit="1" customWidth="1"/>
    <col min="9231" max="9231" width="16.88671875" style="408" customWidth="1"/>
    <col min="9232" max="9468" width="12.6640625" style="408"/>
    <col min="9469" max="9469" width="4.5546875" style="408" customWidth="1"/>
    <col min="9470" max="9470" width="56.109375" style="408" customWidth="1"/>
    <col min="9471" max="9471" width="14.5546875" style="408" customWidth="1"/>
    <col min="9472" max="9472" width="14.6640625" style="408" bestFit="1" customWidth="1"/>
    <col min="9473" max="9473" width="14.44140625" style="408" customWidth="1"/>
    <col min="9474" max="9474" width="17" style="408" customWidth="1"/>
    <col min="9475" max="9475" width="16.6640625" style="408" customWidth="1"/>
    <col min="9476" max="9476" width="3.88671875" style="408" customWidth="1"/>
    <col min="9477" max="9479" width="16.6640625" style="408" customWidth="1"/>
    <col min="9480" max="9480" width="4.109375" style="408" customWidth="1"/>
    <col min="9481" max="9481" width="14" style="408" customWidth="1"/>
    <col min="9482" max="9482" width="15.88671875" style="408" customWidth="1"/>
    <col min="9483" max="9483" width="15.109375" style="408" customWidth="1"/>
    <col min="9484" max="9484" width="2.5546875" style="408" customWidth="1"/>
    <col min="9485" max="9485" width="14" style="408" bestFit="1" customWidth="1"/>
    <col min="9486" max="9486" width="15.88671875" style="408" bestFit="1" customWidth="1"/>
    <col min="9487" max="9487" width="16.88671875" style="408" customWidth="1"/>
    <col min="9488" max="9724" width="12.6640625" style="408"/>
    <col min="9725" max="9725" width="4.5546875" style="408" customWidth="1"/>
    <col min="9726" max="9726" width="56.109375" style="408" customWidth="1"/>
    <col min="9727" max="9727" width="14.5546875" style="408" customWidth="1"/>
    <col min="9728" max="9728" width="14.6640625" style="408" bestFit="1" customWidth="1"/>
    <col min="9729" max="9729" width="14.44140625" style="408" customWidth="1"/>
    <col min="9730" max="9730" width="17" style="408" customWidth="1"/>
    <col min="9731" max="9731" width="16.6640625" style="408" customWidth="1"/>
    <col min="9732" max="9732" width="3.88671875" style="408" customWidth="1"/>
    <col min="9733" max="9735" width="16.6640625" style="408" customWidth="1"/>
    <col min="9736" max="9736" width="4.109375" style="408" customWidth="1"/>
    <col min="9737" max="9737" width="14" style="408" customWidth="1"/>
    <col min="9738" max="9738" width="15.88671875" style="408" customWidth="1"/>
    <col min="9739" max="9739" width="15.109375" style="408" customWidth="1"/>
    <col min="9740" max="9740" width="2.5546875" style="408" customWidth="1"/>
    <col min="9741" max="9741" width="14" style="408" bestFit="1" customWidth="1"/>
    <col min="9742" max="9742" width="15.88671875" style="408" bestFit="1" customWidth="1"/>
    <col min="9743" max="9743" width="16.88671875" style="408" customWidth="1"/>
    <col min="9744" max="9980" width="12.6640625" style="408"/>
    <col min="9981" max="9981" width="4.5546875" style="408" customWidth="1"/>
    <col min="9982" max="9982" width="56.109375" style="408" customWidth="1"/>
    <col min="9983" max="9983" width="14.5546875" style="408" customWidth="1"/>
    <col min="9984" max="9984" width="14.6640625" style="408" bestFit="1" customWidth="1"/>
    <col min="9985" max="9985" width="14.44140625" style="408" customWidth="1"/>
    <col min="9986" max="9986" width="17" style="408" customWidth="1"/>
    <col min="9987" max="9987" width="16.6640625" style="408" customWidth="1"/>
    <col min="9988" max="9988" width="3.88671875" style="408" customWidth="1"/>
    <col min="9989" max="9991" width="16.6640625" style="408" customWidth="1"/>
    <col min="9992" max="9992" width="4.109375" style="408" customWidth="1"/>
    <col min="9993" max="9993" width="14" style="408" customWidth="1"/>
    <col min="9994" max="9994" width="15.88671875" style="408" customWidth="1"/>
    <col min="9995" max="9995" width="15.109375" style="408" customWidth="1"/>
    <col min="9996" max="9996" width="2.5546875" style="408" customWidth="1"/>
    <col min="9997" max="9997" width="14" style="408" bestFit="1" customWidth="1"/>
    <col min="9998" max="9998" width="15.88671875" style="408" bestFit="1" customWidth="1"/>
    <col min="9999" max="9999" width="16.88671875" style="408" customWidth="1"/>
    <col min="10000" max="10236" width="12.6640625" style="408"/>
    <col min="10237" max="10237" width="4.5546875" style="408" customWidth="1"/>
    <col min="10238" max="10238" width="56.109375" style="408" customWidth="1"/>
    <col min="10239" max="10239" width="14.5546875" style="408" customWidth="1"/>
    <col min="10240" max="10240" width="14.6640625" style="408" bestFit="1" customWidth="1"/>
    <col min="10241" max="10241" width="14.44140625" style="408" customWidth="1"/>
    <col min="10242" max="10242" width="17" style="408" customWidth="1"/>
    <col min="10243" max="10243" width="16.6640625" style="408" customWidth="1"/>
    <col min="10244" max="10244" width="3.88671875" style="408" customWidth="1"/>
    <col min="10245" max="10247" width="16.6640625" style="408" customWidth="1"/>
    <col min="10248" max="10248" width="4.109375" style="408" customWidth="1"/>
    <col min="10249" max="10249" width="14" style="408" customWidth="1"/>
    <col min="10250" max="10250" width="15.88671875" style="408" customWidth="1"/>
    <col min="10251" max="10251" width="15.109375" style="408" customWidth="1"/>
    <col min="10252" max="10252" width="2.5546875" style="408" customWidth="1"/>
    <col min="10253" max="10253" width="14" style="408" bestFit="1" customWidth="1"/>
    <col min="10254" max="10254" width="15.88671875" style="408" bestFit="1" customWidth="1"/>
    <col min="10255" max="10255" width="16.88671875" style="408" customWidth="1"/>
    <col min="10256" max="10492" width="12.6640625" style="408"/>
    <col min="10493" max="10493" width="4.5546875" style="408" customWidth="1"/>
    <col min="10494" max="10494" width="56.109375" style="408" customWidth="1"/>
    <col min="10495" max="10495" width="14.5546875" style="408" customWidth="1"/>
    <col min="10496" max="10496" width="14.6640625" style="408" bestFit="1" customWidth="1"/>
    <col min="10497" max="10497" width="14.44140625" style="408" customWidth="1"/>
    <col min="10498" max="10498" width="17" style="408" customWidth="1"/>
    <col min="10499" max="10499" width="16.6640625" style="408" customWidth="1"/>
    <col min="10500" max="10500" width="3.88671875" style="408" customWidth="1"/>
    <col min="10501" max="10503" width="16.6640625" style="408" customWidth="1"/>
    <col min="10504" max="10504" width="4.109375" style="408" customWidth="1"/>
    <col min="10505" max="10505" width="14" style="408" customWidth="1"/>
    <col min="10506" max="10506" width="15.88671875" style="408" customWidth="1"/>
    <col min="10507" max="10507" width="15.109375" style="408" customWidth="1"/>
    <col min="10508" max="10508" width="2.5546875" style="408" customWidth="1"/>
    <col min="10509" max="10509" width="14" style="408" bestFit="1" customWidth="1"/>
    <col min="10510" max="10510" width="15.88671875" style="408" bestFit="1" customWidth="1"/>
    <col min="10511" max="10511" width="16.88671875" style="408" customWidth="1"/>
    <col min="10512" max="10748" width="12.6640625" style="408"/>
    <col min="10749" max="10749" width="4.5546875" style="408" customWidth="1"/>
    <col min="10750" max="10750" width="56.109375" style="408" customWidth="1"/>
    <col min="10751" max="10751" width="14.5546875" style="408" customWidth="1"/>
    <col min="10752" max="10752" width="14.6640625" style="408" bestFit="1" customWidth="1"/>
    <col min="10753" max="10753" width="14.44140625" style="408" customWidth="1"/>
    <col min="10754" max="10754" width="17" style="408" customWidth="1"/>
    <col min="10755" max="10755" width="16.6640625" style="408" customWidth="1"/>
    <col min="10756" max="10756" width="3.88671875" style="408" customWidth="1"/>
    <col min="10757" max="10759" width="16.6640625" style="408" customWidth="1"/>
    <col min="10760" max="10760" width="4.109375" style="408" customWidth="1"/>
    <col min="10761" max="10761" width="14" style="408" customWidth="1"/>
    <col min="10762" max="10762" width="15.88671875" style="408" customWidth="1"/>
    <col min="10763" max="10763" width="15.109375" style="408" customWidth="1"/>
    <col min="10764" max="10764" width="2.5546875" style="408" customWidth="1"/>
    <col min="10765" max="10765" width="14" style="408" bestFit="1" customWidth="1"/>
    <col min="10766" max="10766" width="15.88671875" style="408" bestFit="1" customWidth="1"/>
    <col min="10767" max="10767" width="16.88671875" style="408" customWidth="1"/>
    <col min="10768" max="11004" width="12.6640625" style="408"/>
    <col min="11005" max="11005" width="4.5546875" style="408" customWidth="1"/>
    <col min="11006" max="11006" width="56.109375" style="408" customWidth="1"/>
    <col min="11007" max="11007" width="14.5546875" style="408" customWidth="1"/>
    <col min="11008" max="11008" width="14.6640625" style="408" bestFit="1" customWidth="1"/>
    <col min="11009" max="11009" width="14.44140625" style="408" customWidth="1"/>
    <col min="11010" max="11010" width="17" style="408" customWidth="1"/>
    <col min="11011" max="11011" width="16.6640625" style="408" customWidth="1"/>
    <col min="11012" max="11012" width="3.88671875" style="408" customWidth="1"/>
    <col min="11013" max="11015" width="16.6640625" style="408" customWidth="1"/>
    <col min="11016" max="11016" width="4.109375" style="408" customWidth="1"/>
    <col min="11017" max="11017" width="14" style="408" customWidth="1"/>
    <col min="11018" max="11018" width="15.88671875" style="408" customWidth="1"/>
    <col min="11019" max="11019" width="15.109375" style="408" customWidth="1"/>
    <col min="11020" max="11020" width="2.5546875" style="408" customWidth="1"/>
    <col min="11021" max="11021" width="14" style="408" bestFit="1" customWidth="1"/>
    <col min="11022" max="11022" width="15.88671875" style="408" bestFit="1" customWidth="1"/>
    <col min="11023" max="11023" width="16.88671875" style="408" customWidth="1"/>
    <col min="11024" max="11260" width="12.6640625" style="408"/>
    <col min="11261" max="11261" width="4.5546875" style="408" customWidth="1"/>
    <col min="11262" max="11262" width="56.109375" style="408" customWidth="1"/>
    <col min="11263" max="11263" width="14.5546875" style="408" customWidth="1"/>
    <col min="11264" max="11264" width="14.6640625" style="408" bestFit="1" customWidth="1"/>
    <col min="11265" max="11265" width="14.44140625" style="408" customWidth="1"/>
    <col min="11266" max="11266" width="17" style="408" customWidth="1"/>
    <col min="11267" max="11267" width="16.6640625" style="408" customWidth="1"/>
    <col min="11268" max="11268" width="3.88671875" style="408" customWidth="1"/>
    <col min="11269" max="11271" width="16.6640625" style="408" customWidth="1"/>
    <col min="11272" max="11272" width="4.109375" style="408" customWidth="1"/>
    <col min="11273" max="11273" width="14" style="408" customWidth="1"/>
    <col min="11274" max="11274" width="15.88671875" style="408" customWidth="1"/>
    <col min="11275" max="11275" width="15.109375" style="408" customWidth="1"/>
    <col min="11276" max="11276" width="2.5546875" style="408" customWidth="1"/>
    <col min="11277" max="11277" width="14" style="408" bestFit="1" customWidth="1"/>
    <col min="11278" max="11278" width="15.88671875" style="408" bestFit="1" customWidth="1"/>
    <col min="11279" max="11279" width="16.88671875" style="408" customWidth="1"/>
    <col min="11280" max="11516" width="12.6640625" style="408"/>
    <col min="11517" max="11517" width="4.5546875" style="408" customWidth="1"/>
    <col min="11518" max="11518" width="56.109375" style="408" customWidth="1"/>
    <col min="11519" max="11519" width="14.5546875" style="408" customWidth="1"/>
    <col min="11520" max="11520" width="14.6640625" style="408" bestFit="1" customWidth="1"/>
    <col min="11521" max="11521" width="14.44140625" style="408" customWidth="1"/>
    <col min="11522" max="11522" width="17" style="408" customWidth="1"/>
    <col min="11523" max="11523" width="16.6640625" style="408" customWidth="1"/>
    <col min="11524" max="11524" width="3.88671875" style="408" customWidth="1"/>
    <col min="11525" max="11527" width="16.6640625" style="408" customWidth="1"/>
    <col min="11528" max="11528" width="4.109375" style="408" customWidth="1"/>
    <col min="11529" max="11529" width="14" style="408" customWidth="1"/>
    <col min="11530" max="11530" width="15.88671875" style="408" customWidth="1"/>
    <col min="11531" max="11531" width="15.109375" style="408" customWidth="1"/>
    <col min="11532" max="11532" width="2.5546875" style="408" customWidth="1"/>
    <col min="11533" max="11533" width="14" style="408" bestFit="1" customWidth="1"/>
    <col min="11534" max="11534" width="15.88671875" style="408" bestFit="1" customWidth="1"/>
    <col min="11535" max="11535" width="16.88671875" style="408" customWidth="1"/>
    <col min="11536" max="11772" width="12.6640625" style="408"/>
    <col min="11773" max="11773" width="4.5546875" style="408" customWidth="1"/>
    <col min="11774" max="11774" width="56.109375" style="408" customWidth="1"/>
    <col min="11775" max="11775" width="14.5546875" style="408" customWidth="1"/>
    <col min="11776" max="11776" width="14.6640625" style="408" bestFit="1" customWidth="1"/>
    <col min="11777" max="11777" width="14.44140625" style="408" customWidth="1"/>
    <col min="11778" max="11778" width="17" style="408" customWidth="1"/>
    <col min="11779" max="11779" width="16.6640625" style="408" customWidth="1"/>
    <col min="11780" max="11780" width="3.88671875" style="408" customWidth="1"/>
    <col min="11781" max="11783" width="16.6640625" style="408" customWidth="1"/>
    <col min="11784" max="11784" width="4.109375" style="408" customWidth="1"/>
    <col min="11785" max="11785" width="14" style="408" customWidth="1"/>
    <col min="11786" max="11786" width="15.88671875" style="408" customWidth="1"/>
    <col min="11787" max="11787" width="15.109375" style="408" customWidth="1"/>
    <col min="11788" max="11788" width="2.5546875" style="408" customWidth="1"/>
    <col min="11789" max="11789" width="14" style="408" bestFit="1" customWidth="1"/>
    <col min="11790" max="11790" width="15.88671875" style="408" bestFit="1" customWidth="1"/>
    <col min="11791" max="11791" width="16.88671875" style="408" customWidth="1"/>
    <col min="11792" max="12028" width="12.6640625" style="408"/>
    <col min="12029" max="12029" width="4.5546875" style="408" customWidth="1"/>
    <col min="12030" max="12030" width="56.109375" style="408" customWidth="1"/>
    <col min="12031" max="12031" width="14.5546875" style="408" customWidth="1"/>
    <col min="12032" max="12032" width="14.6640625" style="408" bestFit="1" customWidth="1"/>
    <col min="12033" max="12033" width="14.44140625" style="408" customWidth="1"/>
    <col min="12034" max="12034" width="17" style="408" customWidth="1"/>
    <col min="12035" max="12035" width="16.6640625" style="408" customWidth="1"/>
    <col min="12036" max="12036" width="3.88671875" style="408" customWidth="1"/>
    <col min="12037" max="12039" width="16.6640625" style="408" customWidth="1"/>
    <col min="12040" max="12040" width="4.109375" style="408" customWidth="1"/>
    <col min="12041" max="12041" width="14" style="408" customWidth="1"/>
    <col min="12042" max="12042" width="15.88671875" style="408" customWidth="1"/>
    <col min="12043" max="12043" width="15.109375" style="408" customWidth="1"/>
    <col min="12044" max="12044" width="2.5546875" style="408" customWidth="1"/>
    <col min="12045" max="12045" width="14" style="408" bestFit="1" customWidth="1"/>
    <col min="12046" max="12046" width="15.88671875" style="408" bestFit="1" customWidth="1"/>
    <col min="12047" max="12047" width="16.88671875" style="408" customWidth="1"/>
    <col min="12048" max="12284" width="12.6640625" style="408"/>
    <col min="12285" max="12285" width="4.5546875" style="408" customWidth="1"/>
    <col min="12286" max="12286" width="56.109375" style="408" customWidth="1"/>
    <col min="12287" max="12287" width="14.5546875" style="408" customWidth="1"/>
    <col min="12288" max="12288" width="14.6640625" style="408" bestFit="1" customWidth="1"/>
    <col min="12289" max="12289" width="14.44140625" style="408" customWidth="1"/>
    <col min="12290" max="12290" width="17" style="408" customWidth="1"/>
    <col min="12291" max="12291" width="16.6640625" style="408" customWidth="1"/>
    <col min="12292" max="12292" width="3.88671875" style="408" customWidth="1"/>
    <col min="12293" max="12295" width="16.6640625" style="408" customWidth="1"/>
    <col min="12296" max="12296" width="4.109375" style="408" customWidth="1"/>
    <col min="12297" max="12297" width="14" style="408" customWidth="1"/>
    <col min="12298" max="12298" width="15.88671875" style="408" customWidth="1"/>
    <col min="12299" max="12299" width="15.109375" style="408" customWidth="1"/>
    <col min="12300" max="12300" width="2.5546875" style="408" customWidth="1"/>
    <col min="12301" max="12301" width="14" style="408" bestFit="1" customWidth="1"/>
    <col min="12302" max="12302" width="15.88671875" style="408" bestFit="1" customWidth="1"/>
    <col min="12303" max="12303" width="16.88671875" style="408" customWidth="1"/>
    <col min="12304" max="12540" width="12.6640625" style="408"/>
    <col min="12541" max="12541" width="4.5546875" style="408" customWidth="1"/>
    <col min="12542" max="12542" width="56.109375" style="408" customWidth="1"/>
    <col min="12543" max="12543" width="14.5546875" style="408" customWidth="1"/>
    <col min="12544" max="12544" width="14.6640625" style="408" bestFit="1" customWidth="1"/>
    <col min="12545" max="12545" width="14.44140625" style="408" customWidth="1"/>
    <col min="12546" max="12546" width="17" style="408" customWidth="1"/>
    <col min="12547" max="12547" width="16.6640625" style="408" customWidth="1"/>
    <col min="12548" max="12548" width="3.88671875" style="408" customWidth="1"/>
    <col min="12549" max="12551" width="16.6640625" style="408" customWidth="1"/>
    <col min="12552" max="12552" width="4.109375" style="408" customWidth="1"/>
    <col min="12553" max="12553" width="14" style="408" customWidth="1"/>
    <col min="12554" max="12554" width="15.88671875" style="408" customWidth="1"/>
    <col min="12555" max="12555" width="15.109375" style="408" customWidth="1"/>
    <col min="12556" max="12556" width="2.5546875" style="408" customWidth="1"/>
    <col min="12557" max="12557" width="14" style="408" bestFit="1" customWidth="1"/>
    <col min="12558" max="12558" width="15.88671875" style="408" bestFit="1" customWidth="1"/>
    <col min="12559" max="12559" width="16.88671875" style="408" customWidth="1"/>
    <col min="12560" max="12796" width="12.6640625" style="408"/>
    <col min="12797" max="12797" width="4.5546875" style="408" customWidth="1"/>
    <col min="12798" max="12798" width="56.109375" style="408" customWidth="1"/>
    <col min="12799" max="12799" width="14.5546875" style="408" customWidth="1"/>
    <col min="12800" max="12800" width="14.6640625" style="408" bestFit="1" customWidth="1"/>
    <col min="12801" max="12801" width="14.44140625" style="408" customWidth="1"/>
    <col min="12802" max="12802" width="17" style="408" customWidth="1"/>
    <col min="12803" max="12803" width="16.6640625" style="408" customWidth="1"/>
    <col min="12804" max="12804" width="3.88671875" style="408" customWidth="1"/>
    <col min="12805" max="12807" width="16.6640625" style="408" customWidth="1"/>
    <col min="12808" max="12808" width="4.109375" style="408" customWidth="1"/>
    <col min="12809" max="12809" width="14" style="408" customWidth="1"/>
    <col min="12810" max="12810" width="15.88671875" style="408" customWidth="1"/>
    <col min="12811" max="12811" width="15.109375" style="408" customWidth="1"/>
    <col min="12812" max="12812" width="2.5546875" style="408" customWidth="1"/>
    <col min="12813" max="12813" width="14" style="408" bestFit="1" customWidth="1"/>
    <col min="12814" max="12814" width="15.88671875" style="408" bestFit="1" customWidth="1"/>
    <col min="12815" max="12815" width="16.88671875" style="408" customWidth="1"/>
    <col min="12816" max="13052" width="12.6640625" style="408"/>
    <col min="13053" max="13053" width="4.5546875" style="408" customWidth="1"/>
    <col min="13054" max="13054" width="56.109375" style="408" customWidth="1"/>
    <col min="13055" max="13055" width="14.5546875" style="408" customWidth="1"/>
    <col min="13056" max="13056" width="14.6640625" style="408" bestFit="1" customWidth="1"/>
    <col min="13057" max="13057" width="14.44140625" style="408" customWidth="1"/>
    <col min="13058" max="13058" width="17" style="408" customWidth="1"/>
    <col min="13059" max="13059" width="16.6640625" style="408" customWidth="1"/>
    <col min="13060" max="13060" width="3.88671875" style="408" customWidth="1"/>
    <col min="13061" max="13063" width="16.6640625" style="408" customWidth="1"/>
    <col min="13064" max="13064" width="4.109375" style="408" customWidth="1"/>
    <col min="13065" max="13065" width="14" style="408" customWidth="1"/>
    <col min="13066" max="13066" width="15.88671875" style="408" customWidth="1"/>
    <col min="13067" max="13067" width="15.109375" style="408" customWidth="1"/>
    <col min="13068" max="13068" width="2.5546875" style="408" customWidth="1"/>
    <col min="13069" max="13069" width="14" style="408" bestFit="1" customWidth="1"/>
    <col min="13070" max="13070" width="15.88671875" style="408" bestFit="1" customWidth="1"/>
    <col min="13071" max="13071" width="16.88671875" style="408" customWidth="1"/>
    <col min="13072" max="13308" width="12.6640625" style="408"/>
    <col min="13309" max="13309" width="4.5546875" style="408" customWidth="1"/>
    <col min="13310" max="13310" width="56.109375" style="408" customWidth="1"/>
    <col min="13311" max="13311" width="14.5546875" style="408" customWidth="1"/>
    <col min="13312" max="13312" width="14.6640625" style="408" bestFit="1" customWidth="1"/>
    <col min="13313" max="13313" width="14.44140625" style="408" customWidth="1"/>
    <col min="13314" max="13314" width="17" style="408" customWidth="1"/>
    <col min="13315" max="13315" width="16.6640625" style="408" customWidth="1"/>
    <col min="13316" max="13316" width="3.88671875" style="408" customWidth="1"/>
    <col min="13317" max="13319" width="16.6640625" style="408" customWidth="1"/>
    <col min="13320" max="13320" width="4.109375" style="408" customWidth="1"/>
    <col min="13321" max="13321" width="14" style="408" customWidth="1"/>
    <col min="13322" max="13322" width="15.88671875" style="408" customWidth="1"/>
    <col min="13323" max="13323" width="15.109375" style="408" customWidth="1"/>
    <col min="13324" max="13324" width="2.5546875" style="408" customWidth="1"/>
    <col min="13325" max="13325" width="14" style="408" bestFit="1" customWidth="1"/>
    <col min="13326" max="13326" width="15.88671875" style="408" bestFit="1" customWidth="1"/>
    <col min="13327" max="13327" width="16.88671875" style="408" customWidth="1"/>
    <col min="13328" max="13564" width="12.6640625" style="408"/>
    <col min="13565" max="13565" width="4.5546875" style="408" customWidth="1"/>
    <col min="13566" max="13566" width="56.109375" style="408" customWidth="1"/>
    <col min="13567" max="13567" width="14.5546875" style="408" customWidth="1"/>
    <col min="13568" max="13568" width="14.6640625" style="408" bestFit="1" customWidth="1"/>
    <col min="13569" max="13569" width="14.44140625" style="408" customWidth="1"/>
    <col min="13570" max="13570" width="17" style="408" customWidth="1"/>
    <col min="13571" max="13571" width="16.6640625" style="408" customWidth="1"/>
    <col min="13572" max="13572" width="3.88671875" style="408" customWidth="1"/>
    <col min="13573" max="13575" width="16.6640625" style="408" customWidth="1"/>
    <col min="13576" max="13576" width="4.109375" style="408" customWidth="1"/>
    <col min="13577" max="13577" width="14" style="408" customWidth="1"/>
    <col min="13578" max="13578" width="15.88671875" style="408" customWidth="1"/>
    <col min="13579" max="13579" width="15.109375" style="408" customWidth="1"/>
    <col min="13580" max="13580" width="2.5546875" style="408" customWidth="1"/>
    <col min="13581" max="13581" width="14" style="408" bestFit="1" customWidth="1"/>
    <col min="13582" max="13582" width="15.88671875" style="408" bestFit="1" customWidth="1"/>
    <col min="13583" max="13583" width="16.88671875" style="408" customWidth="1"/>
    <col min="13584" max="13820" width="12.6640625" style="408"/>
    <col min="13821" max="13821" width="4.5546875" style="408" customWidth="1"/>
    <col min="13822" max="13822" width="56.109375" style="408" customWidth="1"/>
    <col min="13823" max="13823" width="14.5546875" style="408" customWidth="1"/>
    <col min="13824" max="13824" width="14.6640625" style="408" bestFit="1" customWidth="1"/>
    <col min="13825" max="13825" width="14.44140625" style="408" customWidth="1"/>
    <col min="13826" max="13826" width="17" style="408" customWidth="1"/>
    <col min="13827" max="13827" width="16.6640625" style="408" customWidth="1"/>
    <col min="13828" max="13828" width="3.88671875" style="408" customWidth="1"/>
    <col min="13829" max="13831" width="16.6640625" style="408" customWidth="1"/>
    <col min="13832" max="13832" width="4.109375" style="408" customWidth="1"/>
    <col min="13833" max="13833" width="14" style="408" customWidth="1"/>
    <col min="13834" max="13834" width="15.88671875" style="408" customWidth="1"/>
    <col min="13835" max="13835" width="15.109375" style="408" customWidth="1"/>
    <col min="13836" max="13836" width="2.5546875" style="408" customWidth="1"/>
    <col min="13837" max="13837" width="14" style="408" bestFit="1" customWidth="1"/>
    <col min="13838" max="13838" width="15.88671875" style="408" bestFit="1" customWidth="1"/>
    <col min="13839" max="13839" width="16.88671875" style="408" customWidth="1"/>
    <col min="13840" max="14076" width="12.6640625" style="408"/>
    <col min="14077" max="14077" width="4.5546875" style="408" customWidth="1"/>
    <col min="14078" max="14078" width="56.109375" style="408" customWidth="1"/>
    <col min="14079" max="14079" width="14.5546875" style="408" customWidth="1"/>
    <col min="14080" max="14080" width="14.6640625" style="408" bestFit="1" customWidth="1"/>
    <col min="14081" max="14081" width="14.44140625" style="408" customWidth="1"/>
    <col min="14082" max="14082" width="17" style="408" customWidth="1"/>
    <col min="14083" max="14083" width="16.6640625" style="408" customWidth="1"/>
    <col min="14084" max="14084" width="3.88671875" style="408" customWidth="1"/>
    <col min="14085" max="14087" width="16.6640625" style="408" customWidth="1"/>
    <col min="14088" max="14088" width="4.109375" style="408" customWidth="1"/>
    <col min="14089" max="14089" width="14" style="408" customWidth="1"/>
    <col min="14090" max="14090" width="15.88671875" style="408" customWidth="1"/>
    <col min="14091" max="14091" width="15.109375" style="408" customWidth="1"/>
    <col min="14092" max="14092" width="2.5546875" style="408" customWidth="1"/>
    <col min="14093" max="14093" width="14" style="408" bestFit="1" customWidth="1"/>
    <col min="14094" max="14094" width="15.88671875" style="408" bestFit="1" customWidth="1"/>
    <col min="14095" max="14095" width="16.88671875" style="408" customWidth="1"/>
    <col min="14096" max="14332" width="12.6640625" style="408"/>
    <col min="14333" max="14333" width="4.5546875" style="408" customWidth="1"/>
    <col min="14334" max="14334" width="56.109375" style="408" customWidth="1"/>
    <col min="14335" max="14335" width="14.5546875" style="408" customWidth="1"/>
    <col min="14336" max="14336" width="14.6640625" style="408" bestFit="1" customWidth="1"/>
    <col min="14337" max="14337" width="14.44140625" style="408" customWidth="1"/>
    <col min="14338" max="14338" width="17" style="408" customWidth="1"/>
    <col min="14339" max="14339" width="16.6640625" style="408" customWidth="1"/>
    <col min="14340" max="14340" width="3.88671875" style="408" customWidth="1"/>
    <col min="14341" max="14343" width="16.6640625" style="408" customWidth="1"/>
    <col min="14344" max="14344" width="4.109375" style="408" customWidth="1"/>
    <col min="14345" max="14345" width="14" style="408" customWidth="1"/>
    <col min="14346" max="14346" width="15.88671875" style="408" customWidth="1"/>
    <col min="14347" max="14347" width="15.109375" style="408" customWidth="1"/>
    <col min="14348" max="14348" width="2.5546875" style="408" customWidth="1"/>
    <col min="14349" max="14349" width="14" style="408" bestFit="1" customWidth="1"/>
    <col min="14350" max="14350" width="15.88671875" style="408" bestFit="1" customWidth="1"/>
    <col min="14351" max="14351" width="16.88671875" style="408" customWidth="1"/>
    <col min="14352" max="14588" width="12.6640625" style="408"/>
    <col min="14589" max="14589" width="4.5546875" style="408" customWidth="1"/>
    <col min="14590" max="14590" width="56.109375" style="408" customWidth="1"/>
    <col min="14591" max="14591" width="14.5546875" style="408" customWidth="1"/>
    <col min="14592" max="14592" width="14.6640625" style="408" bestFit="1" customWidth="1"/>
    <col min="14593" max="14593" width="14.44140625" style="408" customWidth="1"/>
    <col min="14594" max="14594" width="17" style="408" customWidth="1"/>
    <col min="14595" max="14595" width="16.6640625" style="408" customWidth="1"/>
    <col min="14596" max="14596" width="3.88671875" style="408" customWidth="1"/>
    <col min="14597" max="14599" width="16.6640625" style="408" customWidth="1"/>
    <col min="14600" max="14600" width="4.109375" style="408" customWidth="1"/>
    <col min="14601" max="14601" width="14" style="408" customWidth="1"/>
    <col min="14602" max="14602" width="15.88671875" style="408" customWidth="1"/>
    <col min="14603" max="14603" width="15.109375" style="408" customWidth="1"/>
    <col min="14604" max="14604" width="2.5546875" style="408" customWidth="1"/>
    <col min="14605" max="14605" width="14" style="408" bestFit="1" customWidth="1"/>
    <col min="14606" max="14606" width="15.88671875" style="408" bestFit="1" customWidth="1"/>
    <col min="14607" max="14607" width="16.88671875" style="408" customWidth="1"/>
    <col min="14608" max="14844" width="12.6640625" style="408"/>
    <col min="14845" max="14845" width="4.5546875" style="408" customWidth="1"/>
    <col min="14846" max="14846" width="56.109375" style="408" customWidth="1"/>
    <col min="14847" max="14847" width="14.5546875" style="408" customWidth="1"/>
    <col min="14848" max="14848" width="14.6640625" style="408" bestFit="1" customWidth="1"/>
    <col min="14849" max="14849" width="14.44140625" style="408" customWidth="1"/>
    <col min="14850" max="14850" width="17" style="408" customWidth="1"/>
    <col min="14851" max="14851" width="16.6640625" style="408" customWidth="1"/>
    <col min="14852" max="14852" width="3.88671875" style="408" customWidth="1"/>
    <col min="14853" max="14855" width="16.6640625" style="408" customWidth="1"/>
    <col min="14856" max="14856" width="4.109375" style="408" customWidth="1"/>
    <col min="14857" max="14857" width="14" style="408" customWidth="1"/>
    <col min="14858" max="14858" width="15.88671875" style="408" customWidth="1"/>
    <col min="14859" max="14859" width="15.109375" style="408" customWidth="1"/>
    <col min="14860" max="14860" width="2.5546875" style="408" customWidth="1"/>
    <col min="14861" max="14861" width="14" style="408" bestFit="1" customWidth="1"/>
    <col min="14862" max="14862" width="15.88671875" style="408" bestFit="1" customWidth="1"/>
    <col min="14863" max="14863" width="16.88671875" style="408" customWidth="1"/>
    <col min="14864" max="15100" width="12.6640625" style="408"/>
    <col min="15101" max="15101" width="4.5546875" style="408" customWidth="1"/>
    <col min="15102" max="15102" width="56.109375" style="408" customWidth="1"/>
    <col min="15103" max="15103" width="14.5546875" style="408" customWidth="1"/>
    <col min="15104" max="15104" width="14.6640625" style="408" bestFit="1" customWidth="1"/>
    <col min="15105" max="15105" width="14.44140625" style="408" customWidth="1"/>
    <col min="15106" max="15106" width="17" style="408" customWidth="1"/>
    <col min="15107" max="15107" width="16.6640625" style="408" customWidth="1"/>
    <col min="15108" max="15108" width="3.88671875" style="408" customWidth="1"/>
    <col min="15109" max="15111" width="16.6640625" style="408" customWidth="1"/>
    <col min="15112" max="15112" width="4.109375" style="408" customWidth="1"/>
    <col min="15113" max="15113" width="14" style="408" customWidth="1"/>
    <col min="15114" max="15114" width="15.88671875" style="408" customWidth="1"/>
    <col min="15115" max="15115" width="15.109375" style="408" customWidth="1"/>
    <col min="15116" max="15116" width="2.5546875" style="408" customWidth="1"/>
    <col min="15117" max="15117" width="14" style="408" bestFit="1" customWidth="1"/>
    <col min="15118" max="15118" width="15.88671875" style="408" bestFit="1" customWidth="1"/>
    <col min="15119" max="15119" width="16.88671875" style="408" customWidth="1"/>
    <col min="15120" max="15356" width="12.6640625" style="408"/>
    <col min="15357" max="15357" width="4.5546875" style="408" customWidth="1"/>
    <col min="15358" max="15358" width="56.109375" style="408" customWidth="1"/>
    <col min="15359" max="15359" width="14.5546875" style="408" customWidth="1"/>
    <col min="15360" max="15360" width="14.6640625" style="408" bestFit="1" customWidth="1"/>
    <col min="15361" max="15361" width="14.44140625" style="408" customWidth="1"/>
    <col min="15362" max="15362" width="17" style="408" customWidth="1"/>
    <col min="15363" max="15363" width="16.6640625" style="408" customWidth="1"/>
    <col min="15364" max="15364" width="3.88671875" style="408" customWidth="1"/>
    <col min="15365" max="15367" width="16.6640625" style="408" customWidth="1"/>
    <col min="15368" max="15368" width="4.109375" style="408" customWidth="1"/>
    <col min="15369" max="15369" width="14" style="408" customWidth="1"/>
    <col min="15370" max="15370" width="15.88671875" style="408" customWidth="1"/>
    <col min="15371" max="15371" width="15.109375" style="408" customWidth="1"/>
    <col min="15372" max="15372" width="2.5546875" style="408" customWidth="1"/>
    <col min="15373" max="15373" width="14" style="408" bestFit="1" customWidth="1"/>
    <col min="15374" max="15374" width="15.88671875" style="408" bestFit="1" customWidth="1"/>
    <col min="15375" max="15375" width="16.88671875" style="408" customWidth="1"/>
    <col min="15376" max="15612" width="12.6640625" style="408"/>
    <col min="15613" max="15613" width="4.5546875" style="408" customWidth="1"/>
    <col min="15614" max="15614" width="56.109375" style="408" customWidth="1"/>
    <col min="15615" max="15615" width="14.5546875" style="408" customWidth="1"/>
    <col min="15616" max="15616" width="14.6640625" style="408" bestFit="1" customWidth="1"/>
    <col min="15617" max="15617" width="14.44140625" style="408" customWidth="1"/>
    <col min="15618" max="15618" width="17" style="408" customWidth="1"/>
    <col min="15619" max="15619" width="16.6640625" style="408" customWidth="1"/>
    <col min="15620" max="15620" width="3.88671875" style="408" customWidth="1"/>
    <col min="15621" max="15623" width="16.6640625" style="408" customWidth="1"/>
    <col min="15624" max="15624" width="4.109375" style="408" customWidth="1"/>
    <col min="15625" max="15625" width="14" style="408" customWidth="1"/>
    <col min="15626" max="15626" width="15.88671875" style="408" customWidth="1"/>
    <col min="15627" max="15627" width="15.109375" style="408" customWidth="1"/>
    <col min="15628" max="15628" width="2.5546875" style="408" customWidth="1"/>
    <col min="15629" max="15629" width="14" style="408" bestFit="1" customWidth="1"/>
    <col min="15630" max="15630" width="15.88671875" style="408" bestFit="1" customWidth="1"/>
    <col min="15631" max="15631" width="16.88671875" style="408" customWidth="1"/>
    <col min="15632" max="15868" width="12.6640625" style="408"/>
    <col min="15869" max="15869" width="4.5546875" style="408" customWidth="1"/>
    <col min="15870" max="15870" width="56.109375" style="408" customWidth="1"/>
    <col min="15871" max="15871" width="14.5546875" style="408" customWidth="1"/>
    <col min="15872" max="15872" width="14.6640625" style="408" bestFit="1" customWidth="1"/>
    <col min="15873" max="15873" width="14.44140625" style="408" customWidth="1"/>
    <col min="15874" max="15874" width="17" style="408" customWidth="1"/>
    <col min="15875" max="15875" width="16.6640625" style="408" customWidth="1"/>
    <col min="15876" max="15876" width="3.88671875" style="408" customWidth="1"/>
    <col min="15877" max="15879" width="16.6640625" style="408" customWidth="1"/>
    <col min="15880" max="15880" width="4.109375" style="408" customWidth="1"/>
    <col min="15881" max="15881" width="14" style="408" customWidth="1"/>
    <col min="15882" max="15882" width="15.88671875" style="408" customWidth="1"/>
    <col min="15883" max="15883" width="15.109375" style="408" customWidth="1"/>
    <col min="15884" max="15884" width="2.5546875" style="408" customWidth="1"/>
    <col min="15885" max="15885" width="14" style="408" bestFit="1" customWidth="1"/>
    <col min="15886" max="15886" width="15.88671875" style="408" bestFit="1" customWidth="1"/>
    <col min="15887" max="15887" width="16.88671875" style="408" customWidth="1"/>
    <col min="15888" max="16124" width="12.6640625" style="408"/>
    <col min="16125" max="16125" width="4.5546875" style="408" customWidth="1"/>
    <col min="16126" max="16126" width="56.109375" style="408" customWidth="1"/>
    <col min="16127" max="16127" width="14.5546875" style="408" customWidth="1"/>
    <col min="16128" max="16128" width="14.6640625" style="408" bestFit="1" customWidth="1"/>
    <col min="16129" max="16129" width="14.44140625" style="408" customWidth="1"/>
    <col min="16130" max="16130" width="17" style="408" customWidth="1"/>
    <col min="16131" max="16131" width="16.6640625" style="408" customWidth="1"/>
    <col min="16132" max="16132" width="3.88671875" style="408" customWidth="1"/>
    <col min="16133" max="16135" width="16.6640625" style="408" customWidth="1"/>
    <col min="16136" max="16136" width="4.109375" style="408" customWidth="1"/>
    <col min="16137" max="16137" width="14" style="408" customWidth="1"/>
    <col min="16138" max="16138" width="15.88671875" style="408" customWidth="1"/>
    <col min="16139" max="16139" width="15.109375" style="408" customWidth="1"/>
    <col min="16140" max="16140" width="2.5546875" style="408" customWidth="1"/>
    <col min="16141" max="16141" width="14" style="408" bestFit="1" customWidth="1"/>
    <col min="16142" max="16142" width="15.88671875" style="408" bestFit="1" customWidth="1"/>
    <col min="16143" max="16143" width="16.88671875" style="408" customWidth="1"/>
    <col min="16144" max="16384" width="12.6640625" style="408"/>
  </cols>
  <sheetData>
    <row r="1" spans="1:19" ht="15">
      <c r="B1" s="576" t="s">
        <v>954</v>
      </c>
      <c r="C1" s="423" t="s">
        <v>113</v>
      </c>
      <c r="E1" s="423"/>
      <c r="F1" s="423"/>
      <c r="G1" s="423"/>
      <c r="H1" s="423"/>
      <c r="I1" s="423"/>
      <c r="J1" s="423"/>
      <c r="K1" s="423"/>
      <c r="O1" s="575" t="s">
        <v>1163</v>
      </c>
      <c r="P1" s="408"/>
      <c r="Q1" s="408"/>
    </row>
    <row r="2" spans="1:19" ht="15">
      <c r="B2" s="576" t="s">
        <v>0</v>
      </c>
      <c r="C2" s="416"/>
      <c r="D2" s="416"/>
      <c r="E2" s="416"/>
      <c r="F2" s="416"/>
      <c r="G2" s="416"/>
      <c r="H2" s="416"/>
      <c r="I2" s="416"/>
      <c r="J2" s="416"/>
      <c r="K2" s="416"/>
      <c r="L2" s="416"/>
      <c r="O2" s="409"/>
      <c r="P2" s="408"/>
      <c r="Q2" s="408"/>
    </row>
    <row r="3" spans="1:19" ht="15">
      <c r="B3" s="577" t="s">
        <v>1225</v>
      </c>
      <c r="C3" s="416"/>
      <c r="D3" s="416"/>
      <c r="E3" s="416"/>
      <c r="F3" s="416"/>
      <c r="G3" s="416"/>
      <c r="H3" s="416"/>
      <c r="I3" s="416"/>
      <c r="J3" s="416"/>
      <c r="K3" s="416"/>
      <c r="L3" s="416"/>
      <c r="P3" s="408"/>
      <c r="Q3" s="408"/>
    </row>
    <row r="4" spans="1:19" ht="15">
      <c r="B4" s="577" t="s">
        <v>698</v>
      </c>
      <c r="C4" s="423"/>
      <c r="D4" s="423"/>
      <c r="E4" s="423"/>
      <c r="F4" s="423"/>
      <c r="G4" s="423"/>
      <c r="H4" s="423"/>
      <c r="I4" s="423"/>
      <c r="J4" s="423"/>
      <c r="K4" s="423"/>
      <c r="L4" s="423"/>
      <c r="P4" s="408"/>
      <c r="Q4" s="408"/>
    </row>
    <row r="5" spans="1:19">
      <c r="B5" s="410"/>
      <c r="P5" s="408"/>
      <c r="Q5" s="408"/>
    </row>
    <row r="6" spans="1:19">
      <c r="A6" s="492"/>
      <c r="B6" s="18" t="s">
        <v>463</v>
      </c>
      <c r="C6" s="18" t="s">
        <v>464</v>
      </c>
      <c r="D6" s="18" t="s">
        <v>465</v>
      </c>
      <c r="E6" s="18" t="s">
        <v>466</v>
      </c>
      <c r="F6" s="18" t="s">
        <v>467</v>
      </c>
      <c r="G6" s="18" t="s">
        <v>468</v>
      </c>
      <c r="H6" s="18"/>
      <c r="I6" s="18" t="s">
        <v>998</v>
      </c>
      <c r="J6" s="18" t="s">
        <v>999</v>
      </c>
      <c r="K6" s="18" t="s">
        <v>1000</v>
      </c>
      <c r="L6" s="18"/>
      <c r="M6" s="18" t="s">
        <v>469</v>
      </c>
      <c r="N6" s="18" t="s">
        <v>470</v>
      </c>
      <c r="O6" s="18" t="s">
        <v>471</v>
      </c>
      <c r="P6" s="493"/>
      <c r="Q6" s="18" t="s">
        <v>472</v>
      </c>
      <c r="R6" s="18" t="s">
        <v>473</v>
      </c>
      <c r="S6" s="18" t="s">
        <v>474</v>
      </c>
    </row>
    <row r="7" spans="1:19">
      <c r="A7" s="492"/>
      <c r="B7" s="493"/>
      <c r="C7" s="493"/>
      <c r="D7" s="493"/>
      <c r="E7" s="493"/>
      <c r="F7" s="493"/>
      <c r="G7" s="493"/>
      <c r="H7" s="493"/>
      <c r="I7" s="493"/>
      <c r="J7" s="493"/>
      <c r="K7" s="493"/>
      <c r="L7" s="493"/>
      <c r="M7" s="493"/>
      <c r="N7" s="493"/>
      <c r="O7" s="493"/>
      <c r="P7" s="493"/>
      <c r="Q7" s="493"/>
      <c r="R7" s="493"/>
      <c r="S7" s="493"/>
    </row>
    <row r="8" spans="1:19">
      <c r="A8" s="492"/>
      <c r="B8" s="493"/>
      <c r="C8" s="494" t="s">
        <v>475</v>
      </c>
      <c r="D8" s="494"/>
      <c r="E8" s="495" t="s">
        <v>476</v>
      </c>
      <c r="F8" s="494"/>
      <c r="G8" s="496" t="s">
        <v>477</v>
      </c>
      <c r="H8" s="496"/>
      <c r="I8" s="497" t="s">
        <v>1001</v>
      </c>
      <c r="J8" s="494"/>
      <c r="K8" s="494"/>
      <c r="L8" s="496"/>
      <c r="M8" s="497" t="s">
        <v>1114</v>
      </c>
      <c r="N8" s="494"/>
      <c r="O8" s="494"/>
      <c r="P8" s="493"/>
      <c r="Q8" s="523" t="s">
        <v>1211</v>
      </c>
      <c r="R8" s="494"/>
      <c r="S8" s="494"/>
    </row>
    <row r="9" spans="1:19">
      <c r="A9" s="492"/>
      <c r="B9" s="493"/>
      <c r="C9" s="498"/>
      <c r="D9" s="498"/>
      <c r="E9" s="493"/>
      <c r="F9" s="493"/>
      <c r="G9" s="496" t="s">
        <v>478</v>
      </c>
      <c r="H9" s="496"/>
      <c r="I9" s="498"/>
      <c r="J9" s="498"/>
      <c r="K9" s="498"/>
      <c r="L9" s="496"/>
      <c r="M9" s="498"/>
      <c r="N9" s="498"/>
      <c r="O9" s="498"/>
      <c r="P9" s="493"/>
      <c r="Q9" s="498"/>
      <c r="R9" s="498"/>
      <c r="S9" s="498"/>
    </row>
    <row r="10" spans="1:19">
      <c r="A10" s="492"/>
      <c r="B10" s="493"/>
      <c r="C10" s="496" t="s">
        <v>479</v>
      </c>
      <c r="D10" s="496" t="s">
        <v>479</v>
      </c>
      <c r="E10" s="496" t="s">
        <v>479</v>
      </c>
      <c r="F10" s="496" t="s">
        <v>479</v>
      </c>
      <c r="G10" s="496" t="s">
        <v>480</v>
      </c>
      <c r="H10" s="496"/>
      <c r="I10" s="493"/>
      <c r="J10" s="493"/>
      <c r="K10" s="493"/>
      <c r="L10" s="496"/>
      <c r="M10" s="493"/>
      <c r="N10" s="493"/>
      <c r="O10" s="493"/>
      <c r="P10" s="493"/>
      <c r="Q10" s="493"/>
      <c r="R10" s="493"/>
      <c r="S10" s="493"/>
    </row>
    <row r="11" spans="1:19">
      <c r="A11" s="492"/>
      <c r="B11" s="18" t="s">
        <v>481</v>
      </c>
      <c r="C11" s="18" t="s">
        <v>1115</v>
      </c>
      <c r="D11" s="18" t="s">
        <v>1212</v>
      </c>
      <c r="E11" s="18" t="str">
        <f>C11</f>
        <v>OF 12-31-15</v>
      </c>
      <c r="F11" s="18" t="str">
        <f>D11</f>
        <v>OF 12-31-16</v>
      </c>
      <c r="G11" s="18" t="s">
        <v>482</v>
      </c>
      <c r="H11" s="18"/>
      <c r="I11" s="18" t="s">
        <v>483</v>
      </c>
      <c r="J11" s="18" t="s">
        <v>382</v>
      </c>
      <c r="K11" s="18" t="s">
        <v>383</v>
      </c>
      <c r="L11" s="18"/>
      <c r="M11" s="18" t="s">
        <v>483</v>
      </c>
      <c r="N11" s="18" t="s">
        <v>382</v>
      </c>
      <c r="O11" s="18" t="s">
        <v>383</v>
      </c>
      <c r="P11" s="493"/>
      <c r="Q11" s="18" t="s">
        <v>483</v>
      </c>
      <c r="R11" s="18" t="s">
        <v>382</v>
      </c>
      <c r="S11" s="18" t="s">
        <v>383</v>
      </c>
    </row>
    <row r="12" spans="1:19">
      <c r="A12" s="492"/>
      <c r="B12" s="493"/>
      <c r="C12" s="493"/>
      <c r="D12" s="493"/>
      <c r="E12" s="493"/>
      <c r="F12" s="493"/>
      <c r="G12" s="493"/>
      <c r="H12" s="493"/>
      <c r="I12" s="493"/>
      <c r="J12" s="493"/>
      <c r="K12" s="493"/>
      <c r="L12" s="493"/>
      <c r="M12" s="493"/>
      <c r="N12" s="493"/>
      <c r="O12" s="493"/>
      <c r="P12" s="493"/>
      <c r="Q12" s="493"/>
      <c r="R12" s="493"/>
      <c r="S12" s="493"/>
    </row>
    <row r="13" spans="1:19">
      <c r="A13" s="502">
        <v>1</v>
      </c>
      <c r="B13" s="182" t="s">
        <v>484</v>
      </c>
      <c r="C13" s="499"/>
      <c r="D13" s="499"/>
      <c r="E13" s="499"/>
      <c r="F13" s="500"/>
      <c r="G13" s="499"/>
      <c r="H13" s="499"/>
      <c r="I13" s="499"/>
      <c r="J13" s="499"/>
      <c r="K13" s="499"/>
      <c r="L13" s="499"/>
      <c r="M13" s="499"/>
      <c r="N13" s="499"/>
      <c r="O13" s="499"/>
      <c r="P13" s="499"/>
      <c r="Q13" s="499"/>
      <c r="R13" s="499"/>
      <c r="S13" s="499"/>
    </row>
    <row r="14" spans="1:19">
      <c r="A14" s="502">
        <f t="shared" ref="A14:A77" si="0">A13+1</f>
        <v>2</v>
      </c>
      <c r="B14" s="501"/>
      <c r="C14" s="499"/>
      <c r="D14" s="499"/>
      <c r="E14" s="499"/>
      <c r="F14" s="499"/>
      <c r="G14" s="499"/>
      <c r="H14" s="499"/>
      <c r="I14" s="499"/>
      <c r="J14" s="499"/>
      <c r="K14" s="499"/>
      <c r="L14" s="499"/>
      <c r="M14" s="499"/>
      <c r="N14" s="499"/>
      <c r="O14" s="499"/>
      <c r="P14" s="499"/>
      <c r="Q14" s="499"/>
      <c r="R14" s="499"/>
      <c r="S14" s="499"/>
    </row>
    <row r="15" spans="1:19">
      <c r="A15" s="502">
        <f t="shared" si="0"/>
        <v>3</v>
      </c>
      <c r="B15" s="182" t="s">
        <v>570</v>
      </c>
      <c r="C15" s="499">
        <f>SUM(M15:O15)</f>
        <v>317728820.80000001</v>
      </c>
      <c r="D15" s="499">
        <f>SUM(Q15:S15)</f>
        <v>302975148</v>
      </c>
      <c r="E15" s="499"/>
      <c r="F15" s="499"/>
      <c r="G15" s="499">
        <f t="shared" ref="G15:G19" si="1">ROUND(SUM(C15:F15)/2,0)</f>
        <v>310351984</v>
      </c>
      <c r="H15" s="499"/>
      <c r="I15" s="499">
        <f>(M15+Q15)/2</f>
        <v>310351984.39999998</v>
      </c>
      <c r="J15" s="499">
        <f>(N15+R15)/2</f>
        <v>0</v>
      </c>
      <c r="K15" s="499">
        <f>(O15+S15)/2</f>
        <v>0</v>
      </c>
      <c r="L15" s="499"/>
      <c r="M15" s="503">
        <v>317728820.80000001</v>
      </c>
      <c r="N15" s="503">
        <v>0</v>
      </c>
      <c r="O15" s="503">
        <v>0</v>
      </c>
      <c r="P15" s="499"/>
      <c r="Q15" s="503">
        <v>302975148</v>
      </c>
      <c r="R15" s="503">
        <v>0</v>
      </c>
      <c r="S15" s="503">
        <v>0</v>
      </c>
    </row>
    <row r="16" spans="1:19">
      <c r="A16" s="502">
        <f t="shared" si="0"/>
        <v>4</v>
      </c>
      <c r="B16" s="501"/>
      <c r="C16" s="499"/>
      <c r="D16" s="499"/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499"/>
      <c r="P16" s="499"/>
      <c r="Q16" s="499"/>
      <c r="R16" s="499"/>
      <c r="S16" s="499"/>
    </row>
    <row r="17" spans="1:20">
      <c r="A17" s="502">
        <f t="shared" si="0"/>
        <v>5</v>
      </c>
      <c r="B17" s="501" t="s">
        <v>485</v>
      </c>
      <c r="C17" s="499">
        <v>0</v>
      </c>
      <c r="D17" s="499">
        <v>0</v>
      </c>
      <c r="E17" s="499">
        <f t="shared" ref="E17:F19" si="2">-C17</f>
        <v>0</v>
      </c>
      <c r="F17" s="499">
        <f t="shared" si="2"/>
        <v>0</v>
      </c>
      <c r="G17" s="499">
        <f t="shared" si="1"/>
        <v>0</v>
      </c>
      <c r="H17" s="499"/>
      <c r="I17" s="499"/>
      <c r="J17" s="499"/>
      <c r="K17" s="499"/>
      <c r="L17" s="499"/>
      <c r="M17" s="499"/>
      <c r="N17" s="499"/>
      <c r="O17" s="499"/>
      <c r="P17" s="499"/>
      <c r="Q17" s="499"/>
      <c r="R17" s="499"/>
      <c r="S17" s="499"/>
    </row>
    <row r="18" spans="1:20">
      <c r="A18" s="502">
        <f t="shared" si="0"/>
        <v>6</v>
      </c>
      <c r="B18" s="501" t="s">
        <v>486</v>
      </c>
      <c r="C18" s="499">
        <v>0</v>
      </c>
      <c r="D18" s="499">
        <v>0</v>
      </c>
      <c r="E18" s="499">
        <f t="shared" si="2"/>
        <v>0</v>
      </c>
      <c r="F18" s="499">
        <f t="shared" si="2"/>
        <v>0</v>
      </c>
      <c r="G18" s="499">
        <f t="shared" si="1"/>
        <v>0</v>
      </c>
      <c r="H18" s="499"/>
      <c r="I18" s="499"/>
      <c r="J18" s="499"/>
      <c r="K18" s="499"/>
      <c r="L18" s="499"/>
      <c r="M18" s="499"/>
      <c r="N18" s="499"/>
      <c r="O18" s="499"/>
      <c r="P18" s="499"/>
      <c r="Q18" s="499"/>
      <c r="R18" s="499"/>
      <c r="S18" s="499"/>
    </row>
    <row r="19" spans="1:20">
      <c r="A19" s="502">
        <f t="shared" si="0"/>
        <v>7</v>
      </c>
      <c r="B19" s="501" t="s">
        <v>487</v>
      </c>
      <c r="C19" s="499">
        <v>0</v>
      </c>
      <c r="D19" s="499">
        <v>0</v>
      </c>
      <c r="E19" s="499">
        <f t="shared" si="2"/>
        <v>0</v>
      </c>
      <c r="F19" s="499">
        <f t="shared" si="2"/>
        <v>0</v>
      </c>
      <c r="G19" s="499">
        <f t="shared" si="1"/>
        <v>0</v>
      </c>
      <c r="H19" s="499"/>
      <c r="I19" s="499"/>
      <c r="J19" s="499"/>
      <c r="K19" s="499"/>
      <c r="L19" s="499"/>
      <c r="M19" s="499"/>
      <c r="N19" s="499"/>
      <c r="O19" s="499"/>
      <c r="P19" s="499"/>
      <c r="Q19" s="499"/>
      <c r="R19" s="499"/>
      <c r="S19" s="499"/>
    </row>
    <row r="20" spans="1:20">
      <c r="A20" s="502">
        <f t="shared" si="0"/>
        <v>8</v>
      </c>
      <c r="B20" s="493"/>
      <c r="C20" s="499"/>
      <c r="D20" s="499"/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499"/>
      <c r="R20" s="499"/>
      <c r="S20" s="499"/>
    </row>
    <row r="21" spans="1:20" ht="13.8" thickBot="1">
      <c r="A21" s="502">
        <f t="shared" si="0"/>
        <v>9</v>
      </c>
      <c r="B21" s="182" t="s">
        <v>488</v>
      </c>
      <c r="C21" s="504">
        <f>SUM(C15:C20)</f>
        <v>317728820.80000001</v>
      </c>
      <c r="D21" s="504">
        <f>SUM(D15:D20)</f>
        <v>302975148</v>
      </c>
      <c r="E21" s="504">
        <f>SUM(E15:E20)</f>
        <v>0</v>
      </c>
      <c r="F21" s="504">
        <f>SUM(F15:F20)</f>
        <v>0</v>
      </c>
      <c r="G21" s="504">
        <f>SUM(G15:G20)</f>
        <v>310351984</v>
      </c>
      <c r="H21" s="499"/>
      <c r="I21" s="504">
        <f>SUM(I15:I20)</f>
        <v>310351984.39999998</v>
      </c>
      <c r="J21" s="504">
        <f>SUM(J15:J20)</f>
        <v>0</v>
      </c>
      <c r="K21" s="504">
        <f>SUM(K15:K20)</f>
        <v>0</v>
      </c>
      <c r="L21" s="499"/>
      <c r="M21" s="504">
        <f>SUM(M15:M20)</f>
        <v>317728820.80000001</v>
      </c>
      <c r="N21" s="504">
        <f>SUM(N15:N20)</f>
        <v>0</v>
      </c>
      <c r="O21" s="504">
        <f>SUM(O15:O20)</f>
        <v>0</v>
      </c>
      <c r="P21" s="499"/>
      <c r="Q21" s="504">
        <f>SUM(Q15:Q20)</f>
        <v>302975148</v>
      </c>
      <c r="R21" s="504">
        <f>SUM(R15:R20)</f>
        <v>0</v>
      </c>
      <c r="S21" s="504">
        <f>SUM(S15:S20)</f>
        <v>0</v>
      </c>
      <c r="T21" s="630" t="s">
        <v>1227</v>
      </c>
    </row>
    <row r="22" spans="1:20" ht="13.8" thickTop="1">
      <c r="A22" s="502">
        <f t="shared" si="0"/>
        <v>10</v>
      </c>
      <c r="B22" s="493"/>
      <c r="C22" s="505"/>
      <c r="D22" s="505"/>
      <c r="E22" s="505"/>
      <c r="F22" s="505"/>
      <c r="G22" s="505"/>
      <c r="H22" s="499"/>
      <c r="I22" s="505"/>
      <c r="J22" s="505"/>
      <c r="K22" s="505"/>
      <c r="L22" s="499"/>
      <c r="M22" s="505"/>
      <c r="N22" s="505"/>
      <c r="O22" s="505"/>
      <c r="P22" s="499"/>
      <c r="Q22" s="505"/>
      <c r="R22" s="505"/>
      <c r="S22" s="505"/>
    </row>
    <row r="23" spans="1:20">
      <c r="A23" s="502">
        <f t="shared" si="0"/>
        <v>11</v>
      </c>
      <c r="B23" s="493"/>
      <c r="C23" s="499"/>
      <c r="D23" s="499"/>
      <c r="E23" s="499"/>
      <c r="F23" s="499"/>
      <c r="G23" s="499"/>
      <c r="H23" s="499"/>
      <c r="I23" s="499"/>
      <c r="J23" s="499"/>
      <c r="K23" s="499"/>
      <c r="L23" s="499"/>
      <c r="M23" s="499"/>
      <c r="N23" s="499"/>
      <c r="O23" s="499"/>
      <c r="P23" s="499"/>
      <c r="Q23" s="499"/>
      <c r="R23" s="499"/>
      <c r="S23" s="499"/>
    </row>
    <row r="24" spans="1:20">
      <c r="A24" s="502">
        <f t="shared" si="0"/>
        <v>12</v>
      </c>
      <c r="B24" s="501" t="s">
        <v>489</v>
      </c>
      <c r="C24" s="499"/>
      <c r="D24" s="499"/>
      <c r="E24" s="499"/>
      <c r="F24" s="499"/>
      <c r="G24" s="499"/>
      <c r="H24" s="499"/>
      <c r="I24" s="499"/>
      <c r="J24" s="499"/>
      <c r="K24" s="499"/>
      <c r="L24" s="499"/>
      <c r="M24" s="499"/>
      <c r="N24" s="499"/>
      <c r="O24" s="499"/>
      <c r="P24" s="499"/>
      <c r="Q24" s="499"/>
      <c r="R24" s="499"/>
      <c r="S24" s="499"/>
    </row>
    <row r="25" spans="1:20">
      <c r="A25" s="502">
        <f t="shared" si="0"/>
        <v>13</v>
      </c>
      <c r="B25" s="493"/>
      <c r="C25" s="499"/>
      <c r="D25" s="499"/>
      <c r="E25" s="499"/>
      <c r="F25" s="499"/>
      <c r="G25" s="499"/>
      <c r="H25" s="499"/>
      <c r="I25" s="499"/>
      <c r="J25" s="499"/>
      <c r="K25" s="499"/>
      <c r="L25" s="499"/>
      <c r="M25" s="499"/>
      <c r="N25" s="499"/>
      <c r="O25" s="499"/>
      <c r="P25" s="499"/>
      <c r="Q25" s="499"/>
      <c r="R25" s="499"/>
      <c r="S25" s="499"/>
    </row>
    <row r="26" spans="1:20">
      <c r="A26" s="502">
        <f t="shared" si="0"/>
        <v>14</v>
      </c>
      <c r="B26" s="182" t="s">
        <v>1</v>
      </c>
      <c r="C26" s="499">
        <f t="shared" ref="C26:C62" si="3">SUM(M26:O26)</f>
        <v>1227912026.4500003</v>
      </c>
      <c r="D26" s="499">
        <f t="shared" ref="D26:D62" si="4">SUM(Q26:S26)</f>
        <v>1342563527.0800002</v>
      </c>
      <c r="E26" s="499"/>
      <c r="F26" s="499"/>
      <c r="G26" s="499">
        <f t="shared" ref="G26:G48" si="5">ROUND(SUM(C26:F26)/2,0)</f>
        <v>1285237777</v>
      </c>
      <c r="H26" s="499"/>
      <c r="I26" s="499">
        <f t="shared" ref="I26:K63" si="6">(M26+Q26)/2</f>
        <v>369061029.73000002</v>
      </c>
      <c r="J26" s="499">
        <f t="shared" si="6"/>
        <v>417630228.505</v>
      </c>
      <c r="K26" s="499">
        <f t="shared" si="6"/>
        <v>498546518.53000009</v>
      </c>
      <c r="L26" s="499"/>
      <c r="M26" s="506">
        <v>359079128.16000003</v>
      </c>
      <c r="N26" s="506">
        <v>381109421.38000005</v>
      </c>
      <c r="O26" s="506">
        <v>487723476.91000009</v>
      </c>
      <c r="P26" s="499"/>
      <c r="Q26" s="506">
        <v>379042931.30000001</v>
      </c>
      <c r="R26" s="506">
        <v>454151035.63</v>
      </c>
      <c r="S26" s="506">
        <v>509369560.15000004</v>
      </c>
    </row>
    <row r="27" spans="1:20">
      <c r="A27" s="502">
        <f t="shared" si="0"/>
        <v>15</v>
      </c>
      <c r="B27" s="501" t="s">
        <v>2</v>
      </c>
      <c r="C27" s="499">
        <f>SUM(M27:O27)</f>
        <v>0</v>
      </c>
      <c r="D27" s="499">
        <f>SUM(Q27:S27)</f>
        <v>0</v>
      </c>
      <c r="E27" s="499"/>
      <c r="F27" s="499"/>
      <c r="G27" s="499">
        <f t="shared" si="5"/>
        <v>0</v>
      </c>
      <c r="H27" s="499"/>
      <c r="I27" s="499">
        <f t="shared" si="6"/>
        <v>0</v>
      </c>
      <c r="J27" s="499">
        <f t="shared" si="6"/>
        <v>0</v>
      </c>
      <c r="K27" s="499">
        <f t="shared" si="6"/>
        <v>0</v>
      </c>
      <c r="L27" s="499"/>
      <c r="M27" s="506">
        <v>0</v>
      </c>
      <c r="N27" s="506">
        <v>0</v>
      </c>
      <c r="O27" s="506">
        <v>0</v>
      </c>
      <c r="P27" s="499"/>
      <c r="Q27" s="506">
        <v>0</v>
      </c>
      <c r="R27" s="506">
        <v>0</v>
      </c>
      <c r="S27" s="506">
        <v>0</v>
      </c>
    </row>
    <row r="28" spans="1:20">
      <c r="A28" s="502">
        <f t="shared" si="0"/>
        <v>16</v>
      </c>
      <c r="B28" s="182" t="s">
        <v>1002</v>
      </c>
      <c r="C28" s="499">
        <f t="shared" si="3"/>
        <v>1130454.47</v>
      </c>
      <c r="D28" s="499">
        <f t="shared" si="4"/>
        <v>848737.0199999999</v>
      </c>
      <c r="E28" s="499"/>
      <c r="F28" s="499"/>
      <c r="G28" s="499">
        <f t="shared" si="5"/>
        <v>989596</v>
      </c>
      <c r="H28" s="499"/>
      <c r="I28" s="499">
        <f t="shared" si="6"/>
        <v>309701.67000000004</v>
      </c>
      <c r="J28" s="499">
        <f t="shared" si="6"/>
        <v>417691.75</v>
      </c>
      <c r="K28" s="499">
        <f t="shared" si="6"/>
        <v>262202.32500000001</v>
      </c>
      <c r="L28" s="499"/>
      <c r="M28" s="506">
        <v>353784.52</v>
      </c>
      <c r="N28" s="506">
        <v>477145.9</v>
      </c>
      <c r="O28" s="506">
        <v>299524.05</v>
      </c>
      <c r="P28" s="499"/>
      <c r="Q28" s="506">
        <v>265618.82</v>
      </c>
      <c r="R28" s="506">
        <v>358237.6</v>
      </c>
      <c r="S28" s="506">
        <v>224880.6</v>
      </c>
    </row>
    <row r="29" spans="1:20">
      <c r="A29" s="502">
        <f t="shared" si="0"/>
        <v>17</v>
      </c>
      <c r="B29" s="603" t="s">
        <v>1003</v>
      </c>
      <c r="C29" s="604">
        <f>SUM(M29:O29)</f>
        <v>219826.25</v>
      </c>
      <c r="D29" s="604">
        <f>SUM(Q29:S29)</f>
        <v>164717</v>
      </c>
      <c r="E29" s="604"/>
      <c r="F29" s="604"/>
      <c r="G29" s="604">
        <f t="shared" si="5"/>
        <v>192272</v>
      </c>
      <c r="H29" s="604"/>
      <c r="I29" s="604">
        <f t="shared" si="6"/>
        <v>0</v>
      </c>
      <c r="J29" s="604">
        <f t="shared" si="6"/>
        <v>0</v>
      </c>
      <c r="K29" s="604">
        <f t="shared" si="6"/>
        <v>192271.625</v>
      </c>
      <c r="L29" s="604"/>
      <c r="M29" s="604">
        <v>0</v>
      </c>
      <c r="N29" s="604">
        <v>0</v>
      </c>
      <c r="O29" s="604">
        <v>219826.25</v>
      </c>
      <c r="P29" s="604"/>
      <c r="Q29" s="604">
        <v>0</v>
      </c>
      <c r="R29" s="604">
        <v>0</v>
      </c>
      <c r="S29" s="604">
        <v>164717</v>
      </c>
    </row>
    <row r="30" spans="1:20">
      <c r="A30" s="502">
        <f t="shared" si="0"/>
        <v>18</v>
      </c>
      <c r="B30" s="182" t="s">
        <v>1004</v>
      </c>
      <c r="C30" s="499">
        <f t="shared" si="3"/>
        <v>114472.11</v>
      </c>
      <c r="D30" s="499">
        <f t="shared" si="4"/>
        <v>58724.59</v>
      </c>
      <c r="E30" s="499"/>
      <c r="F30" s="499"/>
      <c r="G30" s="499">
        <f t="shared" si="5"/>
        <v>86598</v>
      </c>
      <c r="H30" s="499"/>
      <c r="I30" s="499">
        <f t="shared" si="6"/>
        <v>0</v>
      </c>
      <c r="J30" s="499">
        <f t="shared" si="6"/>
        <v>86598.35</v>
      </c>
      <c r="K30" s="499">
        <f t="shared" si="6"/>
        <v>0</v>
      </c>
      <c r="L30" s="499"/>
      <c r="M30" s="506">
        <v>0</v>
      </c>
      <c r="N30" s="506">
        <v>114472.11</v>
      </c>
      <c r="O30" s="506">
        <v>0</v>
      </c>
      <c r="P30" s="499"/>
      <c r="Q30" s="506">
        <v>0</v>
      </c>
      <c r="R30" s="506">
        <v>58724.59</v>
      </c>
      <c r="S30" s="506">
        <v>0</v>
      </c>
    </row>
    <row r="31" spans="1:20">
      <c r="A31" s="502">
        <f t="shared" si="0"/>
        <v>19</v>
      </c>
      <c r="B31" s="182" t="s">
        <v>490</v>
      </c>
      <c r="C31" s="499">
        <f t="shared" ref="C31:C37" si="7">SUM(M31:O31)</f>
        <v>3574797.69</v>
      </c>
      <c r="D31" s="499">
        <f t="shared" ref="D31:D37" si="8">SUM(Q31:S31)</f>
        <v>3653921.14</v>
      </c>
      <c r="E31" s="499"/>
      <c r="F31" s="499"/>
      <c r="G31" s="499">
        <f t="shared" si="5"/>
        <v>3614359</v>
      </c>
      <c r="H31" s="499"/>
      <c r="I31" s="499">
        <f t="shared" si="6"/>
        <v>3179522.74</v>
      </c>
      <c r="J31" s="499">
        <f t="shared" si="6"/>
        <v>98112.875</v>
      </c>
      <c r="K31" s="499">
        <f t="shared" si="6"/>
        <v>336723.8</v>
      </c>
      <c r="L31" s="499"/>
      <c r="M31" s="506">
        <v>3179522.74</v>
      </c>
      <c r="N31" s="506">
        <v>58551.15</v>
      </c>
      <c r="O31" s="506">
        <v>336723.8</v>
      </c>
      <c r="P31" s="499"/>
      <c r="Q31" s="506">
        <v>3179522.74</v>
      </c>
      <c r="R31" s="506">
        <v>137674.6</v>
      </c>
      <c r="S31" s="506">
        <v>336723.8</v>
      </c>
    </row>
    <row r="32" spans="1:20">
      <c r="A32" s="502">
        <f t="shared" si="0"/>
        <v>20</v>
      </c>
      <c r="B32" s="507" t="s">
        <v>1005</v>
      </c>
      <c r="C32" s="508">
        <f t="shared" si="7"/>
        <v>21477532.119999997</v>
      </c>
      <c r="D32" s="508">
        <f t="shared" si="8"/>
        <v>22689282.050000001</v>
      </c>
      <c r="E32" s="508"/>
      <c r="F32" s="508"/>
      <c r="G32" s="508">
        <f t="shared" si="5"/>
        <v>22083407</v>
      </c>
      <c r="H32" s="508"/>
      <c r="I32" s="508">
        <f t="shared" si="6"/>
        <v>21845920.380000003</v>
      </c>
      <c r="J32" s="508">
        <f t="shared" si="6"/>
        <v>-478.31</v>
      </c>
      <c r="K32" s="508">
        <f t="shared" si="6"/>
        <v>237965.01500000001</v>
      </c>
      <c r="L32" s="508"/>
      <c r="M32" s="508">
        <v>21238405.34</v>
      </c>
      <c r="N32" s="508">
        <v>-447.44</v>
      </c>
      <c r="O32" s="508">
        <v>239574.22</v>
      </c>
      <c r="P32" s="508"/>
      <c r="Q32" s="508">
        <v>22453435.420000002</v>
      </c>
      <c r="R32" s="508">
        <v>-509.18</v>
      </c>
      <c r="S32" s="508">
        <v>236355.81</v>
      </c>
    </row>
    <row r="33" spans="1:19">
      <c r="A33" s="502">
        <f t="shared" si="0"/>
        <v>21</v>
      </c>
      <c r="B33" s="507" t="s">
        <v>3</v>
      </c>
      <c r="C33" s="508">
        <f t="shared" si="7"/>
        <v>-2239124.9900000002</v>
      </c>
      <c r="D33" s="508">
        <f t="shared" si="8"/>
        <v>-2239124.9900000002</v>
      </c>
      <c r="E33" s="508"/>
      <c r="F33" s="508"/>
      <c r="G33" s="508">
        <f t="shared" si="5"/>
        <v>-2239125</v>
      </c>
      <c r="H33" s="508"/>
      <c r="I33" s="508">
        <f t="shared" si="6"/>
        <v>-2239124.9900000002</v>
      </c>
      <c r="J33" s="508">
        <f t="shared" si="6"/>
        <v>0</v>
      </c>
      <c r="K33" s="508">
        <f t="shared" si="6"/>
        <v>0</v>
      </c>
      <c r="L33" s="508"/>
      <c r="M33" s="508">
        <v>-2239124.9900000002</v>
      </c>
      <c r="N33" s="508">
        <v>0</v>
      </c>
      <c r="O33" s="508">
        <v>0</v>
      </c>
      <c r="P33" s="508"/>
      <c r="Q33" s="508">
        <v>-2239124.9900000002</v>
      </c>
      <c r="R33" s="508">
        <v>0</v>
      </c>
      <c r="S33" s="508">
        <v>0</v>
      </c>
    </row>
    <row r="34" spans="1:19">
      <c r="A34" s="502">
        <f t="shared" si="0"/>
        <v>22</v>
      </c>
      <c r="B34" s="182" t="s">
        <v>1213</v>
      </c>
      <c r="C34" s="499">
        <f t="shared" ref="C34" si="9">SUM(M34:O34)</f>
        <v>0</v>
      </c>
      <c r="D34" s="499">
        <f t="shared" si="8"/>
        <v>26796222.550000001</v>
      </c>
      <c r="E34" s="499"/>
      <c r="F34" s="499"/>
      <c r="G34" s="499">
        <f t="shared" ref="G34" si="10">ROUND(SUM(C34:F34)/2,0)</f>
        <v>13398111</v>
      </c>
      <c r="H34" s="499"/>
      <c r="I34" s="499">
        <f t="shared" si="6"/>
        <v>13398111.275</v>
      </c>
      <c r="J34" s="499">
        <f t="shared" si="6"/>
        <v>0</v>
      </c>
      <c r="K34" s="499">
        <f t="shared" si="6"/>
        <v>0</v>
      </c>
      <c r="L34" s="499"/>
      <c r="M34" s="506">
        <v>0</v>
      </c>
      <c r="N34" s="506">
        <v>0</v>
      </c>
      <c r="O34" s="506">
        <v>0</v>
      </c>
      <c r="P34" s="499"/>
      <c r="Q34" s="506">
        <v>26796222.550000001</v>
      </c>
      <c r="R34" s="506">
        <v>0</v>
      </c>
      <c r="S34" s="506">
        <v>0</v>
      </c>
    </row>
    <row r="35" spans="1:19">
      <c r="A35" s="502">
        <f t="shared" si="0"/>
        <v>23</v>
      </c>
      <c r="B35" s="182" t="s">
        <v>4</v>
      </c>
      <c r="C35" s="499">
        <f t="shared" si="7"/>
        <v>89751339.950000003</v>
      </c>
      <c r="D35" s="499">
        <f t="shared" si="8"/>
        <v>78167323.25</v>
      </c>
      <c r="E35" s="499"/>
      <c r="F35" s="499"/>
      <c r="G35" s="499">
        <f t="shared" si="5"/>
        <v>83959332</v>
      </c>
      <c r="H35" s="499"/>
      <c r="I35" s="499">
        <f t="shared" si="6"/>
        <v>83959331.599999994</v>
      </c>
      <c r="J35" s="499">
        <f t="shared" si="6"/>
        <v>0</v>
      </c>
      <c r="K35" s="499">
        <f t="shared" si="6"/>
        <v>0</v>
      </c>
      <c r="L35" s="499"/>
      <c r="M35" s="506">
        <v>89751339.950000003</v>
      </c>
      <c r="N35" s="506">
        <v>0</v>
      </c>
      <c r="O35" s="506">
        <v>0</v>
      </c>
      <c r="P35" s="499"/>
      <c r="Q35" s="506">
        <v>78167323.25</v>
      </c>
      <c r="R35" s="506">
        <v>0</v>
      </c>
      <c r="S35" s="506">
        <v>0</v>
      </c>
    </row>
    <row r="36" spans="1:19">
      <c r="A36" s="502">
        <f t="shared" si="0"/>
        <v>24</v>
      </c>
      <c r="B36" s="182" t="s">
        <v>453</v>
      </c>
      <c r="C36" s="499">
        <f t="shared" si="7"/>
        <v>110780045.75</v>
      </c>
      <c r="D36" s="499">
        <f t="shared" si="8"/>
        <v>117827786.2</v>
      </c>
      <c r="E36" s="499"/>
      <c r="F36" s="499"/>
      <c r="G36" s="499">
        <f t="shared" si="5"/>
        <v>114303916</v>
      </c>
      <c r="H36" s="499"/>
      <c r="I36" s="499">
        <f t="shared" si="6"/>
        <v>48587488.5</v>
      </c>
      <c r="J36" s="499">
        <f t="shared" si="6"/>
        <v>8809674.3500000015</v>
      </c>
      <c r="K36" s="499">
        <f t="shared" si="6"/>
        <v>56906753.125</v>
      </c>
      <c r="L36" s="499"/>
      <c r="M36" s="506">
        <v>46131415.600000001</v>
      </c>
      <c r="N36" s="506">
        <v>8580615.3000000007</v>
      </c>
      <c r="O36" s="506">
        <v>56068014.849999994</v>
      </c>
      <c r="P36" s="499"/>
      <c r="Q36" s="506">
        <v>51043561.399999999</v>
      </c>
      <c r="R36" s="506">
        <v>9038733.4000000004</v>
      </c>
      <c r="S36" s="506">
        <v>57745491.400000006</v>
      </c>
    </row>
    <row r="37" spans="1:19">
      <c r="A37" s="502">
        <f t="shared" si="0"/>
        <v>25</v>
      </c>
      <c r="B37" s="182" t="s">
        <v>1006</v>
      </c>
      <c r="C37" s="499">
        <f t="shared" si="7"/>
        <v>-19990462.390000001</v>
      </c>
      <c r="D37" s="499">
        <f t="shared" si="8"/>
        <v>-17029291.59</v>
      </c>
      <c r="E37" s="499"/>
      <c r="F37" s="499"/>
      <c r="G37" s="499">
        <f t="shared" si="5"/>
        <v>-18509877</v>
      </c>
      <c r="H37" s="499"/>
      <c r="I37" s="499">
        <f t="shared" si="6"/>
        <v>-18509876.990000002</v>
      </c>
      <c r="J37" s="499">
        <f t="shared" si="6"/>
        <v>0</v>
      </c>
      <c r="K37" s="499">
        <f t="shared" si="6"/>
        <v>0</v>
      </c>
      <c r="L37" s="499"/>
      <c r="M37" s="506">
        <v>-19990462.390000001</v>
      </c>
      <c r="N37" s="506">
        <v>0</v>
      </c>
      <c r="O37" s="506">
        <v>0</v>
      </c>
      <c r="P37" s="499"/>
      <c r="Q37" s="506">
        <v>-17029291.59</v>
      </c>
      <c r="R37" s="506">
        <v>0</v>
      </c>
      <c r="S37" s="506">
        <v>0</v>
      </c>
    </row>
    <row r="38" spans="1:19">
      <c r="A38" s="502">
        <f t="shared" si="0"/>
        <v>26</v>
      </c>
      <c r="B38" s="182" t="s">
        <v>454</v>
      </c>
      <c r="C38" s="499">
        <f t="shared" si="3"/>
        <v>1259792.42</v>
      </c>
      <c r="D38" s="499">
        <f t="shared" si="4"/>
        <v>1223085.3799999999</v>
      </c>
      <c r="E38" s="499"/>
      <c r="F38" s="499"/>
      <c r="G38" s="499">
        <f t="shared" si="5"/>
        <v>1241439</v>
      </c>
      <c r="H38" s="499"/>
      <c r="I38" s="499">
        <f t="shared" si="6"/>
        <v>1240903.3999999999</v>
      </c>
      <c r="J38" s="499">
        <f t="shared" si="6"/>
        <v>199</v>
      </c>
      <c r="K38" s="499">
        <f t="shared" si="6"/>
        <v>336.5</v>
      </c>
      <c r="L38" s="499"/>
      <c r="M38" s="506">
        <v>1259020.42</v>
      </c>
      <c r="N38" s="506">
        <v>287</v>
      </c>
      <c r="O38" s="506">
        <v>485</v>
      </c>
      <c r="P38" s="499"/>
      <c r="Q38" s="506">
        <v>1222786.3799999999</v>
      </c>
      <c r="R38" s="506">
        <v>111</v>
      </c>
      <c r="S38" s="506">
        <v>188</v>
      </c>
    </row>
    <row r="39" spans="1:19">
      <c r="A39" s="502">
        <f t="shared" si="0"/>
        <v>27</v>
      </c>
      <c r="B39" s="182" t="s">
        <v>5</v>
      </c>
      <c r="C39" s="499">
        <f t="shared" si="3"/>
        <v>1420547.7000000002</v>
      </c>
      <c r="D39" s="499">
        <f t="shared" si="4"/>
        <v>1611783.7799999998</v>
      </c>
      <c r="E39" s="499"/>
      <c r="F39" s="499"/>
      <c r="G39" s="499">
        <f t="shared" si="5"/>
        <v>1516166</v>
      </c>
      <c r="H39" s="499"/>
      <c r="I39" s="499">
        <f t="shared" si="6"/>
        <v>0</v>
      </c>
      <c r="J39" s="499">
        <f t="shared" si="6"/>
        <v>1516165.74</v>
      </c>
      <c r="K39" s="499">
        <f t="shared" si="6"/>
        <v>0</v>
      </c>
      <c r="L39" s="499"/>
      <c r="M39" s="506">
        <v>0</v>
      </c>
      <c r="N39" s="506">
        <v>1420547.7000000002</v>
      </c>
      <c r="O39" s="506">
        <v>0</v>
      </c>
      <c r="P39" s="499"/>
      <c r="Q39" s="506">
        <v>0</v>
      </c>
      <c r="R39" s="506">
        <v>1611783.7799999998</v>
      </c>
      <c r="S39" s="506">
        <v>0</v>
      </c>
    </row>
    <row r="40" spans="1:19">
      <c r="A40" s="502">
        <f t="shared" si="0"/>
        <v>28</v>
      </c>
      <c r="B40" s="182" t="s">
        <v>6</v>
      </c>
      <c r="C40" s="499">
        <f t="shared" si="3"/>
        <v>17432</v>
      </c>
      <c r="D40" s="499">
        <f t="shared" si="4"/>
        <v>15315</v>
      </c>
      <c r="E40" s="499"/>
      <c r="F40" s="499"/>
      <c r="G40" s="499">
        <f t="shared" si="5"/>
        <v>16374</v>
      </c>
      <c r="H40" s="499"/>
      <c r="I40" s="499">
        <f t="shared" si="6"/>
        <v>0</v>
      </c>
      <c r="J40" s="499">
        <f t="shared" si="6"/>
        <v>5902.5</v>
      </c>
      <c r="K40" s="499">
        <f t="shared" si="6"/>
        <v>10471</v>
      </c>
      <c r="L40" s="499"/>
      <c r="M40" s="506">
        <v>0</v>
      </c>
      <c r="N40" s="506">
        <v>6292</v>
      </c>
      <c r="O40" s="506">
        <v>11140</v>
      </c>
      <c r="P40" s="499"/>
      <c r="Q40" s="506">
        <v>0</v>
      </c>
      <c r="R40" s="506">
        <v>5513</v>
      </c>
      <c r="S40" s="506">
        <v>9802</v>
      </c>
    </row>
    <row r="41" spans="1:19">
      <c r="A41" s="502">
        <f t="shared" si="0"/>
        <v>29</v>
      </c>
      <c r="B41" s="182" t="s">
        <v>7</v>
      </c>
      <c r="C41" s="499">
        <f t="shared" si="3"/>
        <v>3635.6099999999997</v>
      </c>
      <c r="D41" s="499">
        <f t="shared" si="4"/>
        <v>3973.0299999999997</v>
      </c>
      <c r="E41" s="499"/>
      <c r="F41" s="499"/>
      <c r="G41" s="499">
        <f t="shared" si="5"/>
        <v>3804</v>
      </c>
      <c r="H41" s="499"/>
      <c r="I41" s="499">
        <f t="shared" si="6"/>
        <v>0</v>
      </c>
      <c r="J41" s="499">
        <f t="shared" si="6"/>
        <v>0</v>
      </c>
      <c r="K41" s="499">
        <f t="shared" si="6"/>
        <v>3804.3199999999997</v>
      </c>
      <c r="L41" s="499"/>
      <c r="M41" s="506">
        <v>0</v>
      </c>
      <c r="N41" s="506">
        <v>0</v>
      </c>
      <c r="O41" s="506">
        <v>3635.6099999999997</v>
      </c>
      <c r="P41" s="499"/>
      <c r="Q41" s="506">
        <v>0</v>
      </c>
      <c r="R41" s="506">
        <v>0</v>
      </c>
      <c r="S41" s="506">
        <v>3973.0299999999997</v>
      </c>
    </row>
    <row r="42" spans="1:19">
      <c r="A42" s="502">
        <f t="shared" si="0"/>
        <v>30</v>
      </c>
      <c r="B42" s="603" t="s">
        <v>1007</v>
      </c>
      <c r="C42" s="604">
        <f t="shared" si="3"/>
        <v>3056</v>
      </c>
      <c r="D42" s="604">
        <f t="shared" si="4"/>
        <v>0</v>
      </c>
      <c r="E42" s="604"/>
      <c r="F42" s="604"/>
      <c r="G42" s="604">
        <f t="shared" si="5"/>
        <v>1528</v>
      </c>
      <c r="H42" s="604"/>
      <c r="I42" s="604">
        <f t="shared" si="6"/>
        <v>0</v>
      </c>
      <c r="J42" s="604">
        <f t="shared" si="6"/>
        <v>570.5</v>
      </c>
      <c r="K42" s="604">
        <f t="shared" si="6"/>
        <v>957.5</v>
      </c>
      <c r="L42" s="604"/>
      <c r="M42" s="604">
        <v>0</v>
      </c>
      <c r="N42" s="604">
        <v>1141</v>
      </c>
      <c r="O42" s="604">
        <v>1915</v>
      </c>
      <c r="P42" s="604"/>
      <c r="Q42" s="604">
        <v>0</v>
      </c>
      <c r="R42" s="604">
        <v>0</v>
      </c>
      <c r="S42" s="604">
        <v>0</v>
      </c>
    </row>
    <row r="43" spans="1:19">
      <c r="A43" s="502">
        <f t="shared" si="0"/>
        <v>31</v>
      </c>
      <c r="B43" s="603" t="s">
        <v>1008</v>
      </c>
      <c r="C43" s="604">
        <f t="shared" si="3"/>
        <v>-231</v>
      </c>
      <c r="D43" s="604">
        <f t="shared" si="4"/>
        <v>0</v>
      </c>
      <c r="E43" s="604"/>
      <c r="F43" s="604"/>
      <c r="G43" s="604">
        <f t="shared" si="5"/>
        <v>-116</v>
      </c>
      <c r="H43" s="604"/>
      <c r="I43" s="604">
        <f t="shared" si="6"/>
        <v>0</v>
      </c>
      <c r="J43" s="604">
        <f t="shared" si="6"/>
        <v>-43</v>
      </c>
      <c r="K43" s="604">
        <f t="shared" si="6"/>
        <v>-72.5</v>
      </c>
      <c r="L43" s="604"/>
      <c r="M43" s="604">
        <v>0</v>
      </c>
      <c r="N43" s="604">
        <v>-86</v>
      </c>
      <c r="O43" s="604">
        <v>-145</v>
      </c>
      <c r="P43" s="604"/>
      <c r="Q43" s="604">
        <v>0</v>
      </c>
      <c r="R43" s="604">
        <v>0</v>
      </c>
      <c r="S43" s="604">
        <v>0</v>
      </c>
    </row>
    <row r="44" spans="1:19">
      <c r="A44" s="502">
        <f t="shared" si="0"/>
        <v>32</v>
      </c>
      <c r="B44" s="603" t="s">
        <v>491</v>
      </c>
      <c r="C44" s="604">
        <f t="shared" si="3"/>
        <v>-70199.350000000006</v>
      </c>
      <c r="D44" s="604">
        <f t="shared" si="4"/>
        <v>-70199.350000000006</v>
      </c>
      <c r="E44" s="604"/>
      <c r="F44" s="604"/>
      <c r="G44" s="604">
        <f t="shared" si="5"/>
        <v>-70199</v>
      </c>
      <c r="H44" s="604"/>
      <c r="I44" s="604">
        <f t="shared" si="6"/>
        <v>-65939.45</v>
      </c>
      <c r="J44" s="604">
        <f t="shared" si="6"/>
        <v>-2021.55</v>
      </c>
      <c r="K44" s="604">
        <f t="shared" si="6"/>
        <v>-2238.35</v>
      </c>
      <c r="L44" s="604"/>
      <c r="M44" s="604">
        <v>-65939.45</v>
      </c>
      <c r="N44" s="604">
        <v>-2021.55</v>
      </c>
      <c r="O44" s="604">
        <v>-2238.35</v>
      </c>
      <c r="P44" s="604"/>
      <c r="Q44" s="604">
        <v>-65939.45</v>
      </c>
      <c r="R44" s="604">
        <v>-2021.55</v>
      </c>
      <c r="S44" s="604">
        <v>-2238.35</v>
      </c>
    </row>
    <row r="45" spans="1:19">
      <c r="A45" s="502">
        <f t="shared" si="0"/>
        <v>33</v>
      </c>
      <c r="B45" s="603" t="s">
        <v>1009</v>
      </c>
      <c r="C45" s="604">
        <f t="shared" si="3"/>
        <v>837</v>
      </c>
      <c r="D45" s="604">
        <f t="shared" si="4"/>
        <v>0</v>
      </c>
      <c r="E45" s="604"/>
      <c r="F45" s="604"/>
      <c r="G45" s="604">
        <f t="shared" si="5"/>
        <v>419</v>
      </c>
      <c r="H45" s="604"/>
      <c r="I45" s="604">
        <f t="shared" si="6"/>
        <v>0</v>
      </c>
      <c r="J45" s="604">
        <f t="shared" si="6"/>
        <v>156.5</v>
      </c>
      <c r="K45" s="604">
        <f t="shared" si="6"/>
        <v>262</v>
      </c>
      <c r="L45" s="604"/>
      <c r="M45" s="604">
        <v>0</v>
      </c>
      <c r="N45" s="604">
        <v>313</v>
      </c>
      <c r="O45" s="604">
        <v>524</v>
      </c>
      <c r="P45" s="604"/>
      <c r="Q45" s="604">
        <v>0</v>
      </c>
      <c r="R45" s="604">
        <v>0</v>
      </c>
      <c r="S45" s="604">
        <v>0</v>
      </c>
    </row>
    <row r="46" spans="1:19">
      <c r="A46" s="502">
        <f t="shared" si="0"/>
        <v>34</v>
      </c>
      <c r="B46" s="182" t="s">
        <v>455</v>
      </c>
      <c r="C46" s="499">
        <f t="shared" si="3"/>
        <v>19023200.02</v>
      </c>
      <c r="D46" s="499">
        <f t="shared" si="4"/>
        <v>17825025.02</v>
      </c>
      <c r="E46" s="499"/>
      <c r="F46" s="499"/>
      <c r="G46" s="499">
        <f t="shared" si="5"/>
        <v>18424113</v>
      </c>
      <c r="H46" s="499"/>
      <c r="I46" s="499">
        <f t="shared" si="6"/>
        <v>12438823.809999999</v>
      </c>
      <c r="J46" s="499">
        <f t="shared" si="6"/>
        <v>2002367.4100000001</v>
      </c>
      <c r="K46" s="499">
        <f t="shared" si="6"/>
        <v>3982921.3000000007</v>
      </c>
      <c r="L46" s="499"/>
      <c r="M46" s="506">
        <v>12768509.309999999</v>
      </c>
      <c r="N46" s="506">
        <v>2093994.9100000001</v>
      </c>
      <c r="O46" s="506">
        <v>4160695.8000000007</v>
      </c>
      <c r="P46" s="499"/>
      <c r="Q46" s="506">
        <v>12109138.309999999</v>
      </c>
      <c r="R46" s="506">
        <v>1910739.9100000001</v>
      </c>
      <c r="S46" s="506">
        <v>3805146.8000000007</v>
      </c>
    </row>
    <row r="47" spans="1:19">
      <c r="A47" s="502">
        <f t="shared" si="0"/>
        <v>35</v>
      </c>
      <c r="B47" s="182" t="s">
        <v>492</v>
      </c>
      <c r="C47" s="499">
        <f t="shared" ref="C47:C53" si="11">SUM(M47:O47)</f>
        <v>125459970.90000001</v>
      </c>
      <c r="D47" s="499">
        <f t="shared" ref="D47:D53" si="12">SUM(Q47:S47)</f>
        <v>87683076.75</v>
      </c>
      <c r="E47" s="499"/>
      <c r="F47" s="499"/>
      <c r="G47" s="499">
        <f t="shared" si="5"/>
        <v>106571524</v>
      </c>
      <c r="H47" s="499"/>
      <c r="I47" s="499">
        <f t="shared" si="6"/>
        <v>106571523.825</v>
      </c>
      <c r="J47" s="499">
        <f t="shared" si="6"/>
        <v>0</v>
      </c>
      <c r="K47" s="499">
        <f t="shared" si="6"/>
        <v>0</v>
      </c>
      <c r="L47" s="499"/>
      <c r="M47" s="506">
        <v>125459970.90000001</v>
      </c>
      <c r="N47" s="506">
        <v>0</v>
      </c>
      <c r="O47" s="506">
        <v>0</v>
      </c>
      <c r="P47" s="499"/>
      <c r="Q47" s="506">
        <v>87683076.75</v>
      </c>
      <c r="R47" s="506">
        <v>0</v>
      </c>
      <c r="S47" s="506">
        <v>0</v>
      </c>
    </row>
    <row r="48" spans="1:19">
      <c r="A48" s="502">
        <f t="shared" si="0"/>
        <v>36</v>
      </c>
      <c r="B48" s="182" t="s">
        <v>493</v>
      </c>
      <c r="C48" s="499">
        <f t="shared" si="11"/>
        <v>60044175.350000001</v>
      </c>
      <c r="D48" s="499">
        <f t="shared" si="12"/>
        <v>91447540.060000002</v>
      </c>
      <c r="E48" s="499"/>
      <c r="F48" s="499"/>
      <c r="G48" s="499">
        <f t="shared" si="5"/>
        <v>75745858</v>
      </c>
      <c r="H48" s="499"/>
      <c r="I48" s="499">
        <f t="shared" si="6"/>
        <v>75745857.704999998</v>
      </c>
      <c r="J48" s="499">
        <f t="shared" si="6"/>
        <v>0</v>
      </c>
      <c r="K48" s="499">
        <f t="shared" si="6"/>
        <v>0</v>
      </c>
      <c r="L48" s="499"/>
      <c r="M48" s="506">
        <v>60044175.350000001</v>
      </c>
      <c r="N48" s="506">
        <v>0</v>
      </c>
      <c r="O48" s="506">
        <v>0</v>
      </c>
      <c r="P48" s="499"/>
      <c r="Q48" s="506">
        <v>91447540.060000002</v>
      </c>
      <c r="R48" s="506">
        <v>0</v>
      </c>
      <c r="S48" s="506">
        <v>0</v>
      </c>
    </row>
    <row r="49" spans="1:19">
      <c r="A49" s="502">
        <f t="shared" si="0"/>
        <v>37</v>
      </c>
      <c r="B49" s="182" t="s">
        <v>1214</v>
      </c>
      <c r="C49" s="499">
        <f t="shared" si="11"/>
        <v>0</v>
      </c>
      <c r="D49" s="499">
        <f t="shared" si="12"/>
        <v>28450926.100000001</v>
      </c>
      <c r="E49" s="499"/>
      <c r="F49" s="499"/>
      <c r="G49" s="499">
        <f t="shared" ref="G49:G50" si="13">ROUND(SUM(C49:F49)/2,0)</f>
        <v>14225463</v>
      </c>
      <c r="H49" s="499"/>
      <c r="I49" s="499">
        <f t="shared" si="6"/>
        <v>14225463.050000001</v>
      </c>
      <c r="J49" s="499">
        <f t="shared" si="6"/>
        <v>0</v>
      </c>
      <c r="K49" s="499">
        <f t="shared" si="6"/>
        <v>0</v>
      </c>
      <c r="L49" s="499"/>
      <c r="M49" s="506">
        <v>0</v>
      </c>
      <c r="N49" s="506">
        <v>0</v>
      </c>
      <c r="O49" s="506">
        <v>0</v>
      </c>
      <c r="P49" s="499"/>
      <c r="Q49" s="506">
        <v>28450926.100000001</v>
      </c>
      <c r="R49" s="506">
        <v>0</v>
      </c>
      <c r="S49" s="506">
        <v>0</v>
      </c>
    </row>
    <row r="50" spans="1:19">
      <c r="A50" s="502">
        <f t="shared" si="0"/>
        <v>38</v>
      </c>
      <c r="B50" s="182" t="s">
        <v>1215</v>
      </c>
      <c r="C50" s="499">
        <f t="shared" si="11"/>
        <v>0</v>
      </c>
      <c r="D50" s="499">
        <f t="shared" si="12"/>
        <v>5909607.8399999999</v>
      </c>
      <c r="E50" s="499"/>
      <c r="F50" s="499"/>
      <c r="G50" s="499">
        <f t="shared" si="13"/>
        <v>2954804</v>
      </c>
      <c r="H50" s="499"/>
      <c r="I50" s="499">
        <f t="shared" si="6"/>
        <v>2954803.92</v>
      </c>
      <c r="J50" s="499">
        <f t="shared" si="6"/>
        <v>0</v>
      </c>
      <c r="K50" s="499">
        <f t="shared" si="6"/>
        <v>0</v>
      </c>
      <c r="L50" s="499"/>
      <c r="M50" s="506">
        <v>0</v>
      </c>
      <c r="N50" s="506">
        <v>0</v>
      </c>
      <c r="O50" s="506">
        <v>0</v>
      </c>
      <c r="P50" s="499"/>
      <c r="Q50" s="506">
        <v>5909607.8399999999</v>
      </c>
      <c r="R50" s="506">
        <v>0</v>
      </c>
      <c r="S50" s="506">
        <v>0</v>
      </c>
    </row>
    <row r="51" spans="1:19">
      <c r="A51" s="502">
        <f t="shared" si="0"/>
        <v>39</v>
      </c>
      <c r="B51" s="182" t="s">
        <v>456</v>
      </c>
      <c r="C51" s="499">
        <f t="shared" si="11"/>
        <v>3932074.0500000003</v>
      </c>
      <c r="D51" s="499">
        <f t="shared" si="12"/>
        <v>4531112.9499999993</v>
      </c>
      <c r="E51" s="499"/>
      <c r="F51" s="499"/>
      <c r="G51" s="499">
        <f>ROUND(SUM(C51:F51)/2,0)</f>
        <v>4231594</v>
      </c>
      <c r="H51" s="499"/>
      <c r="I51" s="499">
        <f t="shared" si="6"/>
        <v>0</v>
      </c>
      <c r="J51" s="499">
        <f t="shared" si="6"/>
        <v>413939.35</v>
      </c>
      <c r="K51" s="499">
        <f t="shared" si="6"/>
        <v>3817654.15</v>
      </c>
      <c r="L51" s="499"/>
      <c r="M51" s="506">
        <v>0</v>
      </c>
      <c r="N51" s="506">
        <v>417455.1</v>
      </c>
      <c r="O51" s="506">
        <v>3514618.95</v>
      </c>
      <c r="P51" s="499"/>
      <c r="Q51" s="506">
        <v>0</v>
      </c>
      <c r="R51" s="506">
        <v>410423.6</v>
      </c>
      <c r="S51" s="506">
        <v>4120689.3499999996</v>
      </c>
    </row>
    <row r="52" spans="1:19">
      <c r="A52" s="502">
        <f t="shared" si="0"/>
        <v>40</v>
      </c>
      <c r="B52" s="182" t="s">
        <v>8</v>
      </c>
      <c r="C52" s="499">
        <f t="shared" si="11"/>
        <v>44734.21</v>
      </c>
      <c r="D52" s="499">
        <f t="shared" si="12"/>
        <v>36213.42</v>
      </c>
      <c r="E52" s="499"/>
      <c r="F52" s="499"/>
      <c r="G52" s="499">
        <f>ROUND(SUM(C52:F52)/2,0)</f>
        <v>40474</v>
      </c>
      <c r="H52" s="499"/>
      <c r="I52" s="499">
        <f t="shared" si="6"/>
        <v>0</v>
      </c>
      <c r="J52" s="499">
        <f t="shared" si="6"/>
        <v>0</v>
      </c>
      <c r="K52" s="499">
        <f t="shared" si="6"/>
        <v>40473.815000000002</v>
      </c>
      <c r="L52" s="499"/>
      <c r="M52" s="506">
        <v>0</v>
      </c>
      <c r="N52" s="506">
        <v>0</v>
      </c>
      <c r="O52" s="506">
        <v>44734.21</v>
      </c>
      <c r="P52" s="499"/>
      <c r="Q52" s="506">
        <v>0</v>
      </c>
      <c r="R52" s="506">
        <v>0</v>
      </c>
      <c r="S52" s="506">
        <v>36213.42</v>
      </c>
    </row>
    <row r="53" spans="1:19">
      <c r="A53" s="502">
        <f t="shared" si="0"/>
        <v>41</v>
      </c>
      <c r="B53" s="605" t="s">
        <v>9</v>
      </c>
      <c r="C53" s="606">
        <f t="shared" si="11"/>
        <v>0</v>
      </c>
      <c r="D53" s="606">
        <f t="shared" si="12"/>
        <v>0</v>
      </c>
      <c r="E53" s="606"/>
      <c r="F53" s="606"/>
      <c r="G53" s="606">
        <f>ROUND(SUM(C53:F53)/2,0)</f>
        <v>0</v>
      </c>
      <c r="H53" s="606"/>
      <c r="I53" s="606">
        <f t="shared" si="6"/>
        <v>0</v>
      </c>
      <c r="J53" s="606">
        <f t="shared" si="6"/>
        <v>0</v>
      </c>
      <c r="K53" s="606">
        <f t="shared" si="6"/>
        <v>0</v>
      </c>
      <c r="L53" s="606"/>
      <c r="M53" s="606">
        <v>0</v>
      </c>
      <c r="N53" s="606">
        <v>0</v>
      </c>
      <c r="O53" s="606">
        <v>0</v>
      </c>
      <c r="P53" s="606"/>
      <c r="Q53" s="606">
        <v>0</v>
      </c>
      <c r="R53" s="606">
        <v>0</v>
      </c>
      <c r="S53" s="606">
        <v>0</v>
      </c>
    </row>
    <row r="54" spans="1:19">
      <c r="A54" s="502">
        <f t="shared" si="0"/>
        <v>42</v>
      </c>
      <c r="B54" s="182" t="s">
        <v>955</v>
      </c>
      <c r="C54" s="499">
        <f t="shared" si="3"/>
        <v>-13749132.6</v>
      </c>
      <c r="D54" s="499">
        <f t="shared" si="4"/>
        <v>-13749132.6</v>
      </c>
      <c r="E54" s="499"/>
      <c r="F54" s="499"/>
      <c r="G54" s="499">
        <f t="shared" ref="G54:G66" si="14">ROUND(SUM(C54:F54)/2,0)</f>
        <v>-13749133</v>
      </c>
      <c r="H54" s="499"/>
      <c r="I54" s="499">
        <f t="shared" si="6"/>
        <v>-13749132.6</v>
      </c>
      <c r="J54" s="499">
        <f t="shared" si="6"/>
        <v>0</v>
      </c>
      <c r="K54" s="499">
        <f t="shared" si="6"/>
        <v>0</v>
      </c>
      <c r="L54" s="499"/>
      <c r="M54" s="506">
        <v>-13749132.6</v>
      </c>
      <c r="N54" s="506">
        <v>0</v>
      </c>
      <c r="O54" s="506">
        <v>0</v>
      </c>
      <c r="P54" s="499"/>
      <c r="Q54" s="506">
        <v>-13749132.6</v>
      </c>
      <c r="R54" s="506">
        <v>0</v>
      </c>
      <c r="S54" s="506">
        <v>0</v>
      </c>
    </row>
    <row r="55" spans="1:19">
      <c r="A55" s="502">
        <f t="shared" si="0"/>
        <v>43</v>
      </c>
      <c r="B55" s="182" t="s">
        <v>10</v>
      </c>
      <c r="C55" s="499">
        <f t="shared" si="3"/>
        <v>0</v>
      </c>
      <c r="D55" s="499">
        <f t="shared" si="4"/>
        <v>0</v>
      </c>
      <c r="E55" s="499"/>
      <c r="F55" s="499"/>
      <c r="G55" s="499">
        <f t="shared" si="14"/>
        <v>0</v>
      </c>
      <c r="H55" s="499"/>
      <c r="I55" s="499">
        <f t="shared" si="6"/>
        <v>0</v>
      </c>
      <c r="J55" s="499">
        <f t="shared" si="6"/>
        <v>0</v>
      </c>
      <c r="K55" s="499">
        <f t="shared" si="6"/>
        <v>0</v>
      </c>
      <c r="L55" s="499"/>
      <c r="M55" s="506">
        <v>0</v>
      </c>
      <c r="N55" s="506">
        <v>0</v>
      </c>
      <c r="O55" s="506">
        <v>0</v>
      </c>
      <c r="P55" s="499"/>
      <c r="Q55" s="506">
        <v>0</v>
      </c>
      <c r="R55" s="506">
        <v>0</v>
      </c>
      <c r="S55" s="506">
        <v>0</v>
      </c>
    </row>
    <row r="56" spans="1:19">
      <c r="A56" s="502">
        <f t="shared" si="0"/>
        <v>44</v>
      </c>
      <c r="B56" s="182" t="s">
        <v>494</v>
      </c>
      <c r="C56" s="499">
        <f>SUM(M56:O56)</f>
        <v>0</v>
      </c>
      <c r="D56" s="499">
        <f>SUM(Q56:S56)</f>
        <v>0</v>
      </c>
      <c r="E56" s="499"/>
      <c r="F56" s="499"/>
      <c r="G56" s="499">
        <f>ROUND(SUM(C56:F56)/2,0)</f>
        <v>0</v>
      </c>
      <c r="H56" s="499"/>
      <c r="I56" s="499">
        <f t="shared" si="6"/>
        <v>0</v>
      </c>
      <c r="J56" s="499">
        <f t="shared" si="6"/>
        <v>0</v>
      </c>
      <c r="K56" s="499">
        <f t="shared" si="6"/>
        <v>0</v>
      </c>
      <c r="L56" s="499"/>
      <c r="M56" s="506">
        <v>0</v>
      </c>
      <c r="N56" s="506">
        <v>0</v>
      </c>
      <c r="O56" s="506">
        <v>0</v>
      </c>
      <c r="P56" s="499"/>
      <c r="Q56" s="506">
        <v>0</v>
      </c>
      <c r="R56" s="506">
        <v>0</v>
      </c>
      <c r="S56" s="506">
        <v>0</v>
      </c>
    </row>
    <row r="57" spans="1:19">
      <c r="A57" s="502">
        <f t="shared" si="0"/>
        <v>45</v>
      </c>
      <c r="B57" s="182" t="s">
        <v>956</v>
      </c>
      <c r="C57" s="499">
        <f t="shared" si="3"/>
        <v>1089</v>
      </c>
      <c r="D57" s="499">
        <f t="shared" si="4"/>
        <v>0</v>
      </c>
      <c r="E57" s="499"/>
      <c r="F57" s="499"/>
      <c r="G57" s="499">
        <f t="shared" si="14"/>
        <v>545</v>
      </c>
      <c r="H57" s="499"/>
      <c r="I57" s="499">
        <f t="shared" si="6"/>
        <v>0</v>
      </c>
      <c r="J57" s="499">
        <f t="shared" si="6"/>
        <v>203.5</v>
      </c>
      <c r="K57" s="499">
        <f t="shared" si="6"/>
        <v>341</v>
      </c>
      <c r="L57" s="499"/>
      <c r="M57" s="506">
        <v>0</v>
      </c>
      <c r="N57" s="506">
        <v>407</v>
      </c>
      <c r="O57" s="506">
        <v>682</v>
      </c>
      <c r="P57" s="499"/>
      <c r="Q57" s="506">
        <v>0</v>
      </c>
      <c r="R57" s="506">
        <v>0</v>
      </c>
      <c r="S57" s="506">
        <v>0</v>
      </c>
    </row>
    <row r="58" spans="1:19">
      <c r="A58" s="502">
        <f t="shared" si="0"/>
        <v>46</v>
      </c>
      <c r="B58" s="182" t="s">
        <v>11</v>
      </c>
      <c r="C58" s="499">
        <f t="shared" si="3"/>
        <v>1867691</v>
      </c>
      <c r="D58" s="499">
        <f t="shared" si="4"/>
        <v>1760966</v>
      </c>
      <c r="E58" s="499"/>
      <c r="F58" s="499"/>
      <c r="G58" s="499">
        <f t="shared" si="14"/>
        <v>1814329</v>
      </c>
      <c r="H58" s="499"/>
      <c r="I58" s="499">
        <f t="shared" si="6"/>
        <v>1814328.5</v>
      </c>
      <c r="J58" s="499">
        <f t="shared" si="6"/>
        <v>0</v>
      </c>
      <c r="K58" s="499">
        <f t="shared" si="6"/>
        <v>0</v>
      </c>
      <c r="L58" s="499"/>
      <c r="M58" s="506">
        <v>1867691</v>
      </c>
      <c r="N58" s="506">
        <v>0</v>
      </c>
      <c r="O58" s="506">
        <v>0</v>
      </c>
      <c r="P58" s="499"/>
      <c r="Q58" s="506">
        <v>1760966</v>
      </c>
      <c r="R58" s="506">
        <v>0</v>
      </c>
      <c r="S58" s="506">
        <v>0</v>
      </c>
    </row>
    <row r="59" spans="1:19">
      <c r="A59" s="502">
        <f t="shared" si="0"/>
        <v>47</v>
      </c>
      <c r="B59" s="507" t="s">
        <v>12</v>
      </c>
      <c r="C59" s="508">
        <f>SUM(M59:O59)</f>
        <v>-64317.49</v>
      </c>
      <c r="D59" s="508">
        <f>SUM(Q59:S59)</f>
        <v>-64317.49</v>
      </c>
      <c r="E59" s="508"/>
      <c r="F59" s="508"/>
      <c r="G59" s="508">
        <f>ROUND(SUM(C59:F59)/2,0)</f>
        <v>-64317</v>
      </c>
      <c r="H59" s="508"/>
      <c r="I59" s="508">
        <f t="shared" si="6"/>
        <v>-64317.49</v>
      </c>
      <c r="J59" s="508">
        <f t="shared" si="6"/>
        <v>0</v>
      </c>
      <c r="K59" s="508">
        <f t="shared" si="6"/>
        <v>0</v>
      </c>
      <c r="L59" s="508"/>
      <c r="M59" s="508">
        <v>-64317.49</v>
      </c>
      <c r="N59" s="508">
        <v>0</v>
      </c>
      <c r="O59" s="508">
        <v>0</v>
      </c>
      <c r="P59" s="508"/>
      <c r="Q59" s="508">
        <v>-64317.49</v>
      </c>
      <c r="R59" s="508">
        <v>0</v>
      </c>
      <c r="S59" s="508">
        <v>0</v>
      </c>
    </row>
    <row r="60" spans="1:19">
      <c r="A60" s="502">
        <f t="shared" si="0"/>
        <v>48</v>
      </c>
      <c r="B60" s="507" t="s">
        <v>13</v>
      </c>
      <c r="C60" s="508">
        <f t="shared" si="3"/>
        <v>-798375.82</v>
      </c>
      <c r="D60" s="508">
        <f t="shared" si="4"/>
        <v>-798375.82</v>
      </c>
      <c r="E60" s="508"/>
      <c r="F60" s="508"/>
      <c r="G60" s="508">
        <f t="shared" si="14"/>
        <v>-798376</v>
      </c>
      <c r="H60" s="508"/>
      <c r="I60" s="508">
        <f t="shared" si="6"/>
        <v>-798375.82</v>
      </c>
      <c r="J60" s="508">
        <f t="shared" si="6"/>
        <v>0</v>
      </c>
      <c r="K60" s="508">
        <f t="shared" si="6"/>
        <v>0</v>
      </c>
      <c r="L60" s="508"/>
      <c r="M60" s="508">
        <v>-798375.82</v>
      </c>
      <c r="N60" s="508">
        <v>0</v>
      </c>
      <c r="O60" s="508">
        <v>0</v>
      </c>
      <c r="P60" s="508"/>
      <c r="Q60" s="508">
        <v>-798375.82</v>
      </c>
      <c r="R60" s="508">
        <v>0</v>
      </c>
      <c r="S60" s="508">
        <v>0</v>
      </c>
    </row>
    <row r="61" spans="1:19">
      <c r="A61" s="502">
        <f t="shared" si="0"/>
        <v>49</v>
      </c>
      <c r="B61" s="607" t="s">
        <v>14</v>
      </c>
      <c r="C61" s="608">
        <f t="shared" si="3"/>
        <v>-316318.7</v>
      </c>
      <c r="D61" s="608">
        <f t="shared" si="4"/>
        <v>-316318.7</v>
      </c>
      <c r="E61" s="608"/>
      <c r="F61" s="608"/>
      <c r="G61" s="608">
        <f t="shared" si="14"/>
        <v>-316319</v>
      </c>
      <c r="H61" s="608"/>
      <c r="I61" s="608">
        <f t="shared" si="6"/>
        <v>-316318.7</v>
      </c>
      <c r="J61" s="608">
        <f t="shared" si="6"/>
        <v>0</v>
      </c>
      <c r="K61" s="608">
        <f t="shared" si="6"/>
        <v>0</v>
      </c>
      <c r="L61" s="608"/>
      <c r="M61" s="608">
        <v>-316318.7</v>
      </c>
      <c r="N61" s="608">
        <v>0</v>
      </c>
      <c r="O61" s="608">
        <v>0</v>
      </c>
      <c r="P61" s="608"/>
      <c r="Q61" s="608">
        <v>-316318.7</v>
      </c>
      <c r="R61" s="608">
        <v>0</v>
      </c>
      <c r="S61" s="608">
        <v>0</v>
      </c>
    </row>
    <row r="62" spans="1:19">
      <c r="A62" s="502">
        <f t="shared" si="0"/>
        <v>50</v>
      </c>
      <c r="B62" s="607" t="s">
        <v>15</v>
      </c>
      <c r="C62" s="608">
        <f t="shared" si="3"/>
        <v>312822</v>
      </c>
      <c r="D62" s="608">
        <f t="shared" si="4"/>
        <v>312822</v>
      </c>
      <c r="E62" s="608"/>
      <c r="F62" s="608"/>
      <c r="G62" s="608">
        <f t="shared" si="14"/>
        <v>312822</v>
      </c>
      <c r="H62" s="608"/>
      <c r="I62" s="608">
        <f t="shared" si="6"/>
        <v>312822</v>
      </c>
      <c r="J62" s="608">
        <f t="shared" si="6"/>
        <v>0</v>
      </c>
      <c r="K62" s="608">
        <f t="shared" si="6"/>
        <v>0</v>
      </c>
      <c r="L62" s="608"/>
      <c r="M62" s="608">
        <v>312822</v>
      </c>
      <c r="N62" s="608">
        <v>0</v>
      </c>
      <c r="O62" s="608">
        <v>0</v>
      </c>
      <c r="P62" s="608"/>
      <c r="Q62" s="608">
        <v>312822</v>
      </c>
      <c r="R62" s="608">
        <v>0</v>
      </c>
      <c r="S62" s="608">
        <v>0</v>
      </c>
    </row>
    <row r="63" spans="1:19">
      <c r="A63" s="502">
        <f t="shared" si="0"/>
        <v>51</v>
      </c>
      <c r="B63" s="182" t="s">
        <v>16</v>
      </c>
      <c r="C63" s="499">
        <f>SUM(M63:O63)</f>
        <v>0</v>
      </c>
      <c r="D63" s="499">
        <f>SUM(Q63:S63)</f>
        <v>0</v>
      </c>
      <c r="E63" s="499"/>
      <c r="F63" s="499"/>
      <c r="G63" s="499">
        <f>ROUND(SUM(C63:F63)/2,0)</f>
        <v>0</v>
      </c>
      <c r="H63" s="499"/>
      <c r="I63" s="499">
        <f t="shared" si="6"/>
        <v>0</v>
      </c>
      <c r="J63" s="499">
        <f t="shared" si="6"/>
        <v>0</v>
      </c>
      <c r="K63" s="499">
        <f t="shared" si="6"/>
        <v>0</v>
      </c>
      <c r="L63" s="499"/>
      <c r="M63" s="506">
        <v>0</v>
      </c>
      <c r="N63" s="506">
        <v>0</v>
      </c>
      <c r="O63" s="506">
        <v>0</v>
      </c>
      <c r="P63" s="499"/>
      <c r="Q63" s="506">
        <v>0</v>
      </c>
      <c r="R63" s="506">
        <v>0</v>
      </c>
      <c r="S63" s="506">
        <v>0</v>
      </c>
    </row>
    <row r="64" spans="1:19">
      <c r="A64" s="502">
        <f t="shared" si="0"/>
        <v>52</v>
      </c>
      <c r="B64" s="501" t="s">
        <v>485</v>
      </c>
      <c r="C64" s="503">
        <v>0.49</v>
      </c>
      <c r="D64" s="503">
        <v>0.49</v>
      </c>
      <c r="E64" s="499">
        <f t="shared" ref="E64:F66" si="15">-C64</f>
        <v>-0.49</v>
      </c>
      <c r="F64" s="499">
        <f t="shared" si="15"/>
        <v>-0.49</v>
      </c>
      <c r="G64" s="499">
        <f t="shared" si="14"/>
        <v>0</v>
      </c>
      <c r="H64" s="499"/>
      <c r="I64" s="499"/>
      <c r="J64" s="499"/>
      <c r="K64" s="499"/>
      <c r="L64" s="499"/>
      <c r="M64" s="499"/>
      <c r="N64" s="499"/>
      <c r="O64" s="499"/>
      <c r="P64" s="499"/>
      <c r="Q64" s="499"/>
      <c r="R64" s="499"/>
      <c r="S64" s="499"/>
    </row>
    <row r="65" spans="1:20">
      <c r="A65" s="502">
        <f t="shared" si="0"/>
        <v>53</v>
      </c>
      <c r="B65" s="501" t="s">
        <v>495</v>
      </c>
      <c r="C65" s="503">
        <v>128165945.11</v>
      </c>
      <c r="D65" s="503">
        <v>137648772</v>
      </c>
      <c r="E65" s="499">
        <f t="shared" si="15"/>
        <v>-128165945.11</v>
      </c>
      <c r="F65" s="499">
        <f t="shared" si="15"/>
        <v>-137648772</v>
      </c>
      <c r="G65" s="499">
        <f t="shared" si="14"/>
        <v>0</v>
      </c>
      <c r="H65" s="499"/>
      <c r="I65" s="499"/>
      <c r="J65" s="499"/>
      <c r="K65" s="499"/>
      <c r="L65" s="499"/>
      <c r="M65" s="499"/>
      <c r="N65" s="499"/>
      <c r="O65" s="499"/>
      <c r="P65" s="499"/>
      <c r="Q65" s="499"/>
      <c r="R65" s="499"/>
      <c r="S65" s="499"/>
    </row>
    <row r="66" spans="1:20">
      <c r="A66" s="502">
        <f t="shared" si="0"/>
        <v>54</v>
      </c>
      <c r="B66" s="501" t="s">
        <v>496</v>
      </c>
      <c r="C66" s="503">
        <v>-1771929</v>
      </c>
      <c r="D66" s="503">
        <v>-1769094</v>
      </c>
      <c r="E66" s="499">
        <f t="shared" si="15"/>
        <v>1771929</v>
      </c>
      <c r="F66" s="499">
        <f t="shared" si="15"/>
        <v>1769094</v>
      </c>
      <c r="G66" s="499">
        <f t="shared" si="14"/>
        <v>0</v>
      </c>
      <c r="H66" s="499"/>
      <c r="I66" s="499"/>
      <c r="J66" s="499"/>
      <c r="K66" s="499"/>
      <c r="L66" s="499"/>
      <c r="M66" s="499"/>
      <c r="N66" s="499"/>
      <c r="O66" s="499"/>
      <c r="P66" s="499"/>
      <c r="Q66" s="499"/>
      <c r="R66" s="499"/>
      <c r="S66" s="499"/>
    </row>
    <row r="67" spans="1:20">
      <c r="A67" s="502">
        <f t="shared" si="0"/>
        <v>55</v>
      </c>
      <c r="B67" s="493"/>
      <c r="C67" s="499"/>
      <c r="D67" s="499"/>
      <c r="E67" s="499"/>
      <c r="F67" s="499"/>
      <c r="G67" s="499"/>
      <c r="H67" s="499"/>
      <c r="I67" s="499"/>
      <c r="J67" s="499"/>
      <c r="K67" s="499"/>
      <c r="L67" s="499"/>
      <c r="M67" s="499"/>
      <c r="N67" s="499"/>
      <c r="O67" s="499"/>
      <c r="P67" s="499"/>
      <c r="Q67" s="499"/>
      <c r="R67" s="499"/>
      <c r="S67" s="499"/>
    </row>
    <row r="68" spans="1:20" ht="13.8" thickBot="1">
      <c r="A68" s="502">
        <f t="shared" si="0"/>
        <v>56</v>
      </c>
      <c r="B68" s="501" t="s">
        <v>497</v>
      </c>
      <c r="C68" s="504">
        <f>SUM(C26:C67)</f>
        <v>1757517406.3100002</v>
      </c>
      <c r="D68" s="504">
        <f>SUM(D26:D67)</f>
        <v>1935194606.1600003</v>
      </c>
      <c r="E68" s="504">
        <f>SUM(E26:E67)</f>
        <v>-126394016.59999999</v>
      </c>
      <c r="F68" s="504">
        <f>SUM(F26:F67)</f>
        <v>-135879678.49000001</v>
      </c>
      <c r="G68" s="504">
        <f>SUM(G26:G67)</f>
        <v>1715219162</v>
      </c>
      <c r="H68" s="499"/>
      <c r="I68" s="504">
        <f>SUM(I26:I67)</f>
        <v>719902546.06499982</v>
      </c>
      <c r="J68" s="504">
        <f>SUM(J26:J67)</f>
        <v>430979267.47000009</v>
      </c>
      <c r="K68" s="504">
        <f>SUM(K26:K67)</f>
        <v>564337345.15500009</v>
      </c>
      <c r="L68" s="499"/>
      <c r="M68" s="504">
        <f>SUM(M26:M67)</f>
        <v>684222113.8499999</v>
      </c>
      <c r="N68" s="504">
        <f>SUM(N26:N67)</f>
        <v>394278088.56000006</v>
      </c>
      <c r="O68" s="504">
        <f>SUM(O26:O67)</f>
        <v>552623187.30000019</v>
      </c>
      <c r="P68" s="499"/>
      <c r="Q68" s="504">
        <f>SUM(Q26:Q67)</f>
        <v>755582978.27999973</v>
      </c>
      <c r="R68" s="504">
        <f>SUM(R26:R67)</f>
        <v>467680446.38</v>
      </c>
      <c r="S68" s="504">
        <f>SUM(S26:S67)</f>
        <v>576051503.00999999</v>
      </c>
      <c r="T68" s="630" t="s">
        <v>1227</v>
      </c>
    </row>
    <row r="69" spans="1:20" ht="13.8" thickTop="1">
      <c r="A69" s="502">
        <f t="shared" si="0"/>
        <v>57</v>
      </c>
      <c r="B69" s="493"/>
      <c r="C69" s="505"/>
      <c r="D69" s="505"/>
      <c r="E69" s="505"/>
      <c r="F69" s="505"/>
      <c r="G69" s="505"/>
      <c r="H69" s="499"/>
      <c r="I69" s="505"/>
      <c r="J69" s="505"/>
      <c r="K69" s="505"/>
      <c r="L69" s="499"/>
      <c r="M69" s="505"/>
      <c r="N69" s="505"/>
      <c r="O69" s="505"/>
      <c r="P69" s="499"/>
      <c r="Q69" s="509"/>
      <c r="R69" s="505"/>
      <c r="S69" s="505"/>
    </row>
    <row r="70" spans="1:20">
      <c r="A70" s="502"/>
      <c r="B70" s="609" t="s">
        <v>687</v>
      </c>
      <c r="C70" s="610"/>
      <c r="D70" s="610"/>
      <c r="E70" s="610"/>
      <c r="F70" s="610"/>
      <c r="G70" s="610"/>
      <c r="H70" s="604"/>
      <c r="I70" s="610"/>
      <c r="J70" s="610"/>
      <c r="K70" s="610"/>
      <c r="L70" s="604"/>
      <c r="M70" s="610"/>
      <c r="N70" s="610"/>
      <c r="O70" s="610"/>
      <c r="P70" s="604"/>
      <c r="Q70" s="611">
        <f>Q29+Q42+Q43+Q44+Q45</f>
        <v>-65939.45</v>
      </c>
      <c r="R70" s="611">
        <f t="shared" ref="R70:S70" si="16">R29+R42+R43+R44+R45</f>
        <v>-2021.55</v>
      </c>
      <c r="S70" s="611">
        <f t="shared" si="16"/>
        <v>162478.65</v>
      </c>
    </row>
    <row r="71" spans="1:20">
      <c r="A71" s="502"/>
      <c r="B71" s="612" t="s">
        <v>688</v>
      </c>
      <c r="C71" s="613"/>
      <c r="D71" s="613"/>
      <c r="E71" s="613"/>
      <c r="F71" s="613"/>
      <c r="G71" s="613"/>
      <c r="H71" s="608"/>
      <c r="I71" s="613"/>
      <c r="J71" s="613"/>
      <c r="K71" s="613"/>
      <c r="L71" s="608"/>
      <c r="M71" s="613"/>
      <c r="N71" s="613"/>
      <c r="O71" s="613"/>
      <c r="P71" s="608"/>
      <c r="Q71" s="614">
        <f>Q53+Q61+Q62</f>
        <v>-3496.7000000000116</v>
      </c>
      <c r="R71" s="614">
        <f t="shared" ref="R71:S71" si="17">R53+R61+R62</f>
        <v>0</v>
      </c>
      <c r="S71" s="614">
        <f t="shared" si="17"/>
        <v>0</v>
      </c>
    </row>
    <row r="72" spans="1:20">
      <c r="A72" s="502"/>
      <c r="B72" s="510" t="s">
        <v>295</v>
      </c>
      <c r="C72" s="511"/>
      <c r="D72" s="511"/>
      <c r="E72" s="511"/>
      <c r="F72" s="511"/>
      <c r="G72" s="511"/>
      <c r="H72" s="508"/>
      <c r="I72" s="511"/>
      <c r="J72" s="511"/>
      <c r="K72" s="511"/>
      <c r="L72" s="508"/>
      <c r="M72" s="511"/>
      <c r="N72" s="511"/>
      <c r="O72" s="511"/>
      <c r="P72" s="508"/>
      <c r="Q72" s="615">
        <f>Q32+Q33+Q59+Q60</f>
        <v>19351617.120000001</v>
      </c>
      <c r="R72" s="615">
        <f t="shared" ref="R72:S72" si="18">R32+R33+R59+R60</f>
        <v>-509.18</v>
      </c>
      <c r="S72" s="615">
        <f t="shared" si="18"/>
        <v>236355.81</v>
      </c>
    </row>
    <row r="73" spans="1:20" ht="13.8" thickBot="1">
      <c r="A73" s="502"/>
      <c r="B73" s="493" t="s">
        <v>689</v>
      </c>
      <c r="C73" s="513"/>
      <c r="D73" s="513"/>
      <c r="E73" s="513"/>
      <c r="F73" s="513"/>
      <c r="G73" s="513"/>
      <c r="H73" s="499"/>
      <c r="I73" s="513"/>
      <c r="J73" s="513"/>
      <c r="K73" s="513"/>
      <c r="L73" s="499"/>
      <c r="M73" s="513"/>
      <c r="N73" s="513"/>
      <c r="O73" s="513"/>
      <c r="P73" s="499"/>
      <c r="Q73" s="579">
        <f>Q26+Q27+Q28+Q30+Q31+Q34+Q35+Q36+Q37+Q38+Q39+Q40+Q41+Q46+Q47+Q48+Q49+Q50+Q51+Q52+Q54+Q55+Q56+Q57+Q58</f>
        <v>736300797.31000006</v>
      </c>
      <c r="R73" s="579">
        <f t="shared" ref="R73:S73" si="19">R26+R27+R28+R30+R31+R34+R35+R36+R37+R38+R39+R40+R41+R46+R47+R48+R49+R50+R51+R52+R54+R55+R56+R57+R58</f>
        <v>467682977.11000001</v>
      </c>
      <c r="S73" s="579">
        <f t="shared" si="19"/>
        <v>575652668.54999995</v>
      </c>
    </row>
    <row r="74" spans="1:20" ht="13.8" thickBot="1">
      <c r="A74" s="502"/>
      <c r="B74" s="616" t="s">
        <v>691</v>
      </c>
      <c r="C74" s="617"/>
      <c r="D74" s="617"/>
      <c r="E74" s="617"/>
      <c r="F74" s="617"/>
      <c r="G74" s="617"/>
      <c r="H74" s="617"/>
      <c r="I74" s="617"/>
      <c r="J74" s="617"/>
      <c r="K74" s="617"/>
      <c r="L74" s="617"/>
      <c r="M74" s="617"/>
      <c r="N74" s="617"/>
      <c r="O74" s="617"/>
      <c r="P74" s="617"/>
      <c r="Q74" s="618">
        <f>Q72+R68+S68</f>
        <v>1063083566.51</v>
      </c>
      <c r="R74" s="617"/>
      <c r="S74" s="619"/>
    </row>
    <row r="75" spans="1:20">
      <c r="A75" s="502"/>
      <c r="B75" s="493"/>
      <c r="C75" s="513"/>
      <c r="D75" s="513"/>
      <c r="E75" s="513"/>
      <c r="F75" s="513"/>
      <c r="G75" s="513"/>
      <c r="H75" s="499"/>
      <c r="I75" s="513"/>
      <c r="J75" s="513"/>
      <c r="K75" s="513"/>
      <c r="L75" s="499"/>
      <c r="M75" s="513"/>
      <c r="N75" s="513"/>
      <c r="O75" s="513"/>
      <c r="P75" s="499"/>
      <c r="Q75" s="579"/>
      <c r="R75" s="513"/>
      <c r="S75" s="513"/>
    </row>
    <row r="76" spans="1:20">
      <c r="A76" s="502">
        <f>A69+1</f>
        <v>58</v>
      </c>
      <c r="B76" s="501"/>
      <c r="C76" s="499"/>
      <c r="D76" s="512"/>
      <c r="E76" s="499"/>
      <c r="F76" s="499"/>
      <c r="G76" s="499"/>
      <c r="H76" s="499"/>
      <c r="I76" s="499"/>
      <c r="J76" s="499"/>
      <c r="K76" s="499"/>
      <c r="L76" s="499"/>
      <c r="M76" s="499"/>
      <c r="N76" s="499"/>
      <c r="O76" s="499"/>
      <c r="P76" s="499"/>
      <c r="Q76" s="499" t="s">
        <v>113</v>
      </c>
      <c r="R76" s="499"/>
      <c r="S76" s="499"/>
    </row>
    <row r="77" spans="1:20">
      <c r="A77" s="502">
        <f t="shared" si="0"/>
        <v>59</v>
      </c>
      <c r="B77" s="182" t="s">
        <v>498</v>
      </c>
      <c r="C77" s="499" t="s">
        <v>113</v>
      </c>
      <c r="D77" s="499"/>
      <c r="E77" s="499"/>
      <c r="F77" s="499"/>
      <c r="G77" s="499"/>
      <c r="H77" s="499"/>
      <c r="I77" s="499"/>
      <c r="J77" s="499"/>
      <c r="K77" s="499"/>
      <c r="L77" s="499"/>
      <c r="M77" s="499"/>
      <c r="N77" s="499"/>
      <c r="O77" s="499"/>
      <c r="P77" s="499"/>
      <c r="Q77" s="499"/>
      <c r="R77" s="499"/>
      <c r="S77" s="499"/>
    </row>
    <row r="78" spans="1:20">
      <c r="A78" s="502">
        <f t="shared" ref="A78:A141" si="20">A77+1</f>
        <v>60</v>
      </c>
      <c r="B78" s="493"/>
      <c r="C78" s="499"/>
      <c r="D78" s="499"/>
      <c r="E78" s="499"/>
      <c r="F78" s="499"/>
      <c r="G78" s="499"/>
      <c r="H78" s="499"/>
      <c r="I78" s="499"/>
      <c r="J78" s="499"/>
      <c r="K78" s="499"/>
      <c r="L78" s="499"/>
      <c r="M78" s="499"/>
      <c r="N78" s="499"/>
      <c r="O78" s="499"/>
      <c r="P78" s="499"/>
      <c r="Q78" s="499"/>
      <c r="R78" s="499"/>
      <c r="S78" s="499"/>
    </row>
    <row r="79" spans="1:20">
      <c r="A79" s="502">
        <f t="shared" si="20"/>
        <v>61</v>
      </c>
      <c r="B79" s="416" t="s">
        <v>957</v>
      </c>
      <c r="C79" s="499">
        <f t="shared" ref="C79" si="21">SUM(M79:O79)</f>
        <v>537936.07999999996</v>
      </c>
      <c r="D79" s="499">
        <f t="shared" ref="D79:D142" si="22">SUM(Q79:S79)</f>
        <v>0</v>
      </c>
      <c r="E79" s="499"/>
      <c r="F79" s="499"/>
      <c r="G79" s="499">
        <f t="shared" ref="G79:G133" si="23">ROUND(SUM(C79:F79)/2,0)</f>
        <v>268968</v>
      </c>
      <c r="H79" s="499"/>
      <c r="I79" s="499">
        <f>(M79+Q79)/2</f>
        <v>268968.03999999998</v>
      </c>
      <c r="J79" s="499">
        <f>(N79+R79)/2</f>
        <v>0</v>
      </c>
      <c r="K79" s="499">
        <f>(O79+S79)/2</f>
        <v>0</v>
      </c>
      <c r="L79" s="499"/>
      <c r="M79" s="506">
        <v>537936.07999999996</v>
      </c>
      <c r="N79" s="506">
        <v>0</v>
      </c>
      <c r="O79" s="506">
        <v>0</v>
      </c>
      <c r="P79" s="499"/>
      <c r="Q79" s="506">
        <v>0</v>
      </c>
      <c r="R79" s="506">
        <v>0</v>
      </c>
      <c r="S79" s="506">
        <v>0</v>
      </c>
    </row>
    <row r="80" spans="1:20">
      <c r="A80" s="502">
        <f t="shared" si="20"/>
        <v>62</v>
      </c>
      <c r="B80" s="607" t="s">
        <v>17</v>
      </c>
      <c r="C80" s="608">
        <f t="shared" ref="C80:C143" si="24">SUM(M80:O80)</f>
        <v>20704379.879999999</v>
      </c>
      <c r="D80" s="608">
        <f t="shared" si="22"/>
        <v>21274136.489999998</v>
      </c>
      <c r="E80" s="608"/>
      <c r="F80" s="608"/>
      <c r="G80" s="608">
        <f>ROUND(SUM(C80:F80)/2,0)</f>
        <v>20989258</v>
      </c>
      <c r="H80" s="608"/>
      <c r="I80" s="608">
        <f t="shared" ref="I80:K139" si="25">(M80+Q80)/2</f>
        <v>20989258.184999999</v>
      </c>
      <c r="J80" s="608">
        <f t="shared" si="25"/>
        <v>0</v>
      </c>
      <c r="K80" s="608">
        <f t="shared" si="25"/>
        <v>0</v>
      </c>
      <c r="L80" s="608"/>
      <c r="M80" s="608">
        <v>20704379.879999999</v>
      </c>
      <c r="N80" s="608">
        <v>0</v>
      </c>
      <c r="O80" s="608">
        <v>0</v>
      </c>
      <c r="P80" s="608"/>
      <c r="Q80" s="608">
        <v>21274136.489999998</v>
      </c>
      <c r="R80" s="608">
        <v>0</v>
      </c>
      <c r="S80" s="608">
        <v>0</v>
      </c>
    </row>
    <row r="81" spans="1:19">
      <c r="A81" s="502">
        <f t="shared" si="20"/>
        <v>63</v>
      </c>
      <c r="B81" s="607" t="s">
        <v>18</v>
      </c>
      <c r="C81" s="608">
        <f t="shared" si="24"/>
        <v>9554796.0500000007</v>
      </c>
      <c r="D81" s="608">
        <f t="shared" si="22"/>
        <v>2156899.7200000002</v>
      </c>
      <c r="E81" s="608"/>
      <c r="F81" s="608"/>
      <c r="G81" s="608">
        <f t="shared" si="23"/>
        <v>5855848</v>
      </c>
      <c r="H81" s="608"/>
      <c r="I81" s="608">
        <f t="shared" si="25"/>
        <v>5855847.8850000007</v>
      </c>
      <c r="J81" s="608">
        <f t="shared" si="25"/>
        <v>0</v>
      </c>
      <c r="K81" s="608">
        <f t="shared" si="25"/>
        <v>0</v>
      </c>
      <c r="L81" s="608"/>
      <c r="M81" s="608">
        <v>9554796.0500000007</v>
      </c>
      <c r="N81" s="608">
        <v>0</v>
      </c>
      <c r="O81" s="608">
        <v>0</v>
      </c>
      <c r="P81" s="608"/>
      <c r="Q81" s="608">
        <v>2156899.7200000002</v>
      </c>
      <c r="R81" s="608">
        <v>0</v>
      </c>
      <c r="S81" s="608">
        <v>0</v>
      </c>
    </row>
    <row r="82" spans="1:19">
      <c r="A82" s="502">
        <f t="shared" si="20"/>
        <v>64</v>
      </c>
      <c r="B82" s="607" t="s">
        <v>19</v>
      </c>
      <c r="C82" s="608">
        <f t="shared" si="24"/>
        <v>0</v>
      </c>
      <c r="D82" s="608">
        <f t="shared" si="22"/>
        <v>0</v>
      </c>
      <c r="E82" s="608"/>
      <c r="F82" s="608"/>
      <c r="G82" s="608">
        <f t="shared" si="23"/>
        <v>0</v>
      </c>
      <c r="H82" s="608"/>
      <c r="I82" s="608">
        <f t="shared" si="25"/>
        <v>0</v>
      </c>
      <c r="J82" s="608">
        <f t="shared" si="25"/>
        <v>0</v>
      </c>
      <c r="K82" s="608">
        <f t="shared" si="25"/>
        <v>0</v>
      </c>
      <c r="L82" s="608"/>
      <c r="M82" s="608">
        <v>0</v>
      </c>
      <c r="N82" s="608">
        <v>0</v>
      </c>
      <c r="O82" s="608">
        <v>0</v>
      </c>
      <c r="P82" s="608"/>
      <c r="Q82" s="608">
        <v>0</v>
      </c>
      <c r="R82" s="608">
        <v>0</v>
      </c>
      <c r="S82" s="608">
        <v>0</v>
      </c>
    </row>
    <row r="83" spans="1:19">
      <c r="A83" s="502">
        <f t="shared" si="20"/>
        <v>65</v>
      </c>
      <c r="B83" s="607" t="s">
        <v>20</v>
      </c>
      <c r="C83" s="608">
        <f t="shared" si="24"/>
        <v>-221361.11</v>
      </c>
      <c r="D83" s="608">
        <f t="shared" si="22"/>
        <v>-245477.66</v>
      </c>
      <c r="E83" s="608"/>
      <c r="F83" s="608"/>
      <c r="G83" s="608">
        <f t="shared" si="23"/>
        <v>-233419</v>
      </c>
      <c r="H83" s="608"/>
      <c r="I83" s="608">
        <f t="shared" si="25"/>
        <v>-233419.38500000001</v>
      </c>
      <c r="J83" s="608">
        <f t="shared" si="25"/>
        <v>0</v>
      </c>
      <c r="K83" s="608">
        <f t="shared" si="25"/>
        <v>0</v>
      </c>
      <c r="L83" s="608"/>
      <c r="M83" s="608">
        <v>-221361.11</v>
      </c>
      <c r="N83" s="608">
        <v>0</v>
      </c>
      <c r="O83" s="608">
        <v>0</v>
      </c>
      <c r="P83" s="608"/>
      <c r="Q83" s="608">
        <v>-245477.66</v>
      </c>
      <c r="R83" s="608">
        <v>0</v>
      </c>
      <c r="S83" s="608">
        <v>0</v>
      </c>
    </row>
    <row r="84" spans="1:19">
      <c r="A84" s="502">
        <f t="shared" si="20"/>
        <v>66</v>
      </c>
      <c r="B84" s="607" t="s">
        <v>21</v>
      </c>
      <c r="C84" s="608">
        <f t="shared" si="24"/>
        <v>0</v>
      </c>
      <c r="D84" s="608">
        <f t="shared" si="22"/>
        <v>0</v>
      </c>
      <c r="E84" s="608"/>
      <c r="F84" s="608"/>
      <c r="G84" s="608">
        <f t="shared" si="23"/>
        <v>0</v>
      </c>
      <c r="H84" s="608"/>
      <c r="I84" s="608">
        <f t="shared" si="25"/>
        <v>0</v>
      </c>
      <c r="J84" s="608">
        <f t="shared" si="25"/>
        <v>0</v>
      </c>
      <c r="K84" s="608">
        <f t="shared" si="25"/>
        <v>0</v>
      </c>
      <c r="L84" s="608"/>
      <c r="M84" s="608">
        <v>0</v>
      </c>
      <c r="N84" s="608">
        <v>0</v>
      </c>
      <c r="O84" s="608">
        <v>0</v>
      </c>
      <c r="P84" s="608"/>
      <c r="Q84" s="608">
        <v>0</v>
      </c>
      <c r="R84" s="608">
        <v>0</v>
      </c>
      <c r="S84" s="608">
        <v>0</v>
      </c>
    </row>
    <row r="85" spans="1:19">
      <c r="A85" s="502">
        <f t="shared" si="20"/>
        <v>67</v>
      </c>
      <c r="B85" s="607" t="s">
        <v>958</v>
      </c>
      <c r="C85" s="608">
        <f t="shared" si="24"/>
        <v>0</v>
      </c>
      <c r="D85" s="608">
        <f t="shared" si="22"/>
        <v>0</v>
      </c>
      <c r="E85" s="608"/>
      <c r="F85" s="608"/>
      <c r="G85" s="608">
        <f>ROUND(SUM(C85:F85)/2,0)</f>
        <v>0</v>
      </c>
      <c r="H85" s="608"/>
      <c r="I85" s="608">
        <f t="shared" si="25"/>
        <v>0</v>
      </c>
      <c r="J85" s="608">
        <f t="shared" si="25"/>
        <v>0</v>
      </c>
      <c r="K85" s="608">
        <f t="shared" si="25"/>
        <v>0</v>
      </c>
      <c r="L85" s="608"/>
      <c r="M85" s="608">
        <v>0</v>
      </c>
      <c r="N85" s="608">
        <v>0</v>
      </c>
      <c r="O85" s="608">
        <v>0</v>
      </c>
      <c r="P85" s="608"/>
      <c r="Q85" s="608">
        <v>0</v>
      </c>
      <c r="R85" s="608">
        <v>0</v>
      </c>
      <c r="S85" s="608">
        <v>0</v>
      </c>
    </row>
    <row r="86" spans="1:19">
      <c r="A86" s="502">
        <f t="shared" si="20"/>
        <v>68</v>
      </c>
      <c r="B86" s="620" t="s">
        <v>959</v>
      </c>
      <c r="C86" s="608">
        <f t="shared" si="24"/>
        <v>0</v>
      </c>
      <c r="D86" s="608">
        <f t="shared" si="22"/>
        <v>0</v>
      </c>
      <c r="E86" s="608"/>
      <c r="F86" s="608"/>
      <c r="G86" s="608">
        <f>ROUND(SUM(C86:F86)/2,0)</f>
        <v>0</v>
      </c>
      <c r="H86" s="608"/>
      <c r="I86" s="608">
        <f t="shared" si="25"/>
        <v>0</v>
      </c>
      <c r="J86" s="608">
        <f t="shared" si="25"/>
        <v>0</v>
      </c>
      <c r="K86" s="608">
        <f t="shared" si="25"/>
        <v>0</v>
      </c>
      <c r="L86" s="608"/>
      <c r="M86" s="608">
        <v>0</v>
      </c>
      <c r="N86" s="608">
        <v>0</v>
      </c>
      <c r="O86" s="608">
        <v>0</v>
      </c>
      <c r="P86" s="608"/>
      <c r="Q86" s="608">
        <v>0</v>
      </c>
      <c r="R86" s="608">
        <v>0</v>
      </c>
      <c r="S86" s="608">
        <v>0</v>
      </c>
    </row>
    <row r="87" spans="1:19">
      <c r="A87" s="502">
        <f t="shared" si="20"/>
        <v>69</v>
      </c>
      <c r="B87" s="182" t="s">
        <v>22</v>
      </c>
      <c r="C87" s="499">
        <f t="shared" si="24"/>
        <v>4905103.09</v>
      </c>
      <c r="D87" s="499">
        <f t="shared" si="22"/>
        <v>4660590.66</v>
      </c>
      <c r="E87" s="499"/>
      <c r="F87" s="499"/>
      <c r="G87" s="499">
        <f t="shared" si="23"/>
        <v>4782847</v>
      </c>
      <c r="H87" s="499"/>
      <c r="I87" s="499">
        <f t="shared" si="25"/>
        <v>731828.54999999993</v>
      </c>
      <c r="J87" s="499">
        <f t="shared" si="25"/>
        <v>1283549.095</v>
      </c>
      <c r="K87" s="499">
        <f t="shared" si="25"/>
        <v>2767469.23</v>
      </c>
      <c r="L87" s="499"/>
      <c r="M87" s="506">
        <v>42402.7</v>
      </c>
      <c r="N87" s="506">
        <v>1381485.23</v>
      </c>
      <c r="O87" s="506">
        <v>3481215.16</v>
      </c>
      <c r="P87" s="499"/>
      <c r="Q87" s="506">
        <v>1421254.4</v>
      </c>
      <c r="R87" s="506">
        <v>1185612.96</v>
      </c>
      <c r="S87" s="506">
        <v>2053723.3</v>
      </c>
    </row>
    <row r="88" spans="1:19">
      <c r="A88" s="502">
        <f t="shared" si="20"/>
        <v>70</v>
      </c>
      <c r="B88" s="416" t="s">
        <v>960</v>
      </c>
      <c r="C88" s="499">
        <f t="shared" si="24"/>
        <v>1897034</v>
      </c>
      <c r="D88" s="499">
        <f t="shared" si="22"/>
        <v>0.05</v>
      </c>
      <c r="E88" s="499"/>
      <c r="F88" s="499"/>
      <c r="G88" s="499">
        <f>ROUND(SUM(C88:F88)/2,0)</f>
        <v>948517</v>
      </c>
      <c r="H88" s="499"/>
      <c r="I88" s="499">
        <f t="shared" si="25"/>
        <v>948517.02500000002</v>
      </c>
      <c r="J88" s="499">
        <f t="shared" si="25"/>
        <v>0</v>
      </c>
      <c r="K88" s="499">
        <f t="shared" si="25"/>
        <v>0</v>
      </c>
      <c r="L88" s="499"/>
      <c r="M88" s="506">
        <v>1897034</v>
      </c>
      <c r="N88" s="506">
        <v>0</v>
      </c>
      <c r="O88" s="506">
        <v>0</v>
      </c>
      <c r="P88" s="499"/>
      <c r="Q88" s="506">
        <v>0.05</v>
      </c>
      <c r="R88" s="506">
        <v>0</v>
      </c>
      <c r="S88" s="506">
        <v>0</v>
      </c>
    </row>
    <row r="89" spans="1:19">
      <c r="A89" s="502">
        <f t="shared" si="20"/>
        <v>71</v>
      </c>
      <c r="B89" s="416" t="s">
        <v>961</v>
      </c>
      <c r="C89" s="499">
        <f t="shared" si="24"/>
        <v>116187034.25</v>
      </c>
      <c r="D89" s="499">
        <f t="shared" si="22"/>
        <v>108157386.05</v>
      </c>
      <c r="E89" s="499"/>
      <c r="F89" s="499"/>
      <c r="G89" s="499">
        <f>ROUND(SUM(C89:F89)/2,0)</f>
        <v>112172210</v>
      </c>
      <c r="H89" s="499"/>
      <c r="I89" s="499">
        <f t="shared" si="25"/>
        <v>112172210.15000001</v>
      </c>
      <c r="J89" s="499">
        <f t="shared" si="25"/>
        <v>0</v>
      </c>
      <c r="K89" s="499">
        <f t="shared" si="25"/>
        <v>0</v>
      </c>
      <c r="L89" s="499"/>
      <c r="M89" s="506">
        <v>116187034.25</v>
      </c>
      <c r="N89" s="506">
        <v>0</v>
      </c>
      <c r="O89" s="506">
        <v>0</v>
      </c>
      <c r="P89" s="499"/>
      <c r="Q89" s="506">
        <v>108157386.05</v>
      </c>
      <c r="R89" s="506">
        <v>0</v>
      </c>
      <c r="S89" s="506">
        <v>0</v>
      </c>
    </row>
    <row r="90" spans="1:19">
      <c r="A90" s="502">
        <f t="shared" si="20"/>
        <v>72</v>
      </c>
      <c r="B90" s="182" t="s">
        <v>78</v>
      </c>
      <c r="C90" s="499">
        <f t="shared" si="24"/>
        <v>4563746.5999999996</v>
      </c>
      <c r="D90" s="499">
        <f t="shared" si="22"/>
        <v>603988.35000000009</v>
      </c>
      <c r="E90" s="499"/>
      <c r="F90" s="499"/>
      <c r="G90" s="499">
        <f t="shared" si="23"/>
        <v>2583867</v>
      </c>
      <c r="H90" s="499"/>
      <c r="I90" s="499">
        <f t="shared" si="25"/>
        <v>2583867.4749999996</v>
      </c>
      <c r="J90" s="499">
        <f t="shared" si="25"/>
        <v>0</v>
      </c>
      <c r="K90" s="499">
        <f t="shared" si="25"/>
        <v>0</v>
      </c>
      <c r="L90" s="499"/>
      <c r="M90" s="506">
        <v>4563746.5999999996</v>
      </c>
      <c r="N90" s="506">
        <v>0</v>
      </c>
      <c r="O90" s="506">
        <v>0</v>
      </c>
      <c r="P90" s="499"/>
      <c r="Q90" s="506">
        <v>603988.35000000009</v>
      </c>
      <c r="R90" s="506">
        <v>0</v>
      </c>
      <c r="S90" s="506">
        <v>0</v>
      </c>
    </row>
    <row r="91" spans="1:19">
      <c r="A91" s="502">
        <f t="shared" si="20"/>
        <v>73</v>
      </c>
      <c r="B91" s="182" t="s">
        <v>1010</v>
      </c>
      <c r="C91" s="499">
        <f t="shared" si="24"/>
        <v>-679995.75</v>
      </c>
      <c r="D91" s="499">
        <f t="shared" si="22"/>
        <v>-679996.1</v>
      </c>
      <c r="E91" s="499"/>
      <c r="F91" s="499"/>
      <c r="G91" s="499">
        <f t="shared" si="23"/>
        <v>-679996</v>
      </c>
      <c r="H91" s="499"/>
      <c r="I91" s="499">
        <f t="shared" si="25"/>
        <v>-679995.92500000005</v>
      </c>
      <c r="J91" s="499">
        <f t="shared" si="25"/>
        <v>0</v>
      </c>
      <c r="K91" s="499">
        <f t="shared" si="25"/>
        <v>0</v>
      </c>
      <c r="L91" s="499"/>
      <c r="M91" s="506">
        <v>-679995.75</v>
      </c>
      <c r="N91" s="506">
        <v>0</v>
      </c>
      <c r="O91" s="506">
        <v>0</v>
      </c>
      <c r="P91" s="499"/>
      <c r="Q91" s="506">
        <v>-679996.1</v>
      </c>
      <c r="R91" s="506">
        <v>0</v>
      </c>
      <c r="S91" s="506">
        <v>0</v>
      </c>
    </row>
    <row r="92" spans="1:19">
      <c r="A92" s="502">
        <f t="shared" si="20"/>
        <v>74</v>
      </c>
      <c r="B92" s="603" t="s">
        <v>624</v>
      </c>
      <c r="C92" s="604">
        <f t="shared" si="24"/>
        <v>50971749.390000001</v>
      </c>
      <c r="D92" s="604">
        <f t="shared" si="22"/>
        <v>49898814.079999998</v>
      </c>
      <c r="E92" s="604"/>
      <c r="F92" s="604"/>
      <c r="G92" s="604">
        <f t="shared" si="23"/>
        <v>50435282</v>
      </c>
      <c r="H92" s="604"/>
      <c r="I92" s="604">
        <f t="shared" si="25"/>
        <v>21253371.454999998</v>
      </c>
      <c r="J92" s="604">
        <f t="shared" si="25"/>
        <v>2083281.345</v>
      </c>
      <c r="K92" s="604">
        <f t="shared" si="25"/>
        <v>27098628.934999999</v>
      </c>
      <c r="L92" s="604"/>
      <c r="M92" s="604">
        <v>21314894.190000001</v>
      </c>
      <c r="N92" s="604">
        <v>2192250.0699999998</v>
      </c>
      <c r="O92" s="604">
        <v>27464605.129999999</v>
      </c>
      <c r="P92" s="604"/>
      <c r="Q92" s="604">
        <v>21191848.719999999</v>
      </c>
      <c r="R92" s="604">
        <v>1974312.62</v>
      </c>
      <c r="S92" s="604">
        <v>26732652.739999998</v>
      </c>
    </row>
    <row r="93" spans="1:19">
      <c r="A93" s="502">
        <f t="shared" si="20"/>
        <v>75</v>
      </c>
      <c r="B93" s="603" t="s">
        <v>23</v>
      </c>
      <c r="C93" s="604">
        <f t="shared" si="24"/>
        <v>-76188362.949999988</v>
      </c>
      <c r="D93" s="604">
        <f t="shared" si="22"/>
        <v>-74699569</v>
      </c>
      <c r="E93" s="604"/>
      <c r="F93" s="604"/>
      <c r="G93" s="604">
        <f t="shared" si="23"/>
        <v>-75443966</v>
      </c>
      <c r="H93" s="604"/>
      <c r="I93" s="604">
        <f t="shared" si="25"/>
        <v>-27525531.25</v>
      </c>
      <c r="J93" s="604">
        <f t="shared" si="25"/>
        <v>-6317398.5</v>
      </c>
      <c r="K93" s="604">
        <f t="shared" si="25"/>
        <v>-41601036.224999994</v>
      </c>
      <c r="L93" s="604"/>
      <c r="M93" s="604">
        <v>-28168288.75</v>
      </c>
      <c r="N93" s="604">
        <v>-6113437.0499999998</v>
      </c>
      <c r="O93" s="604">
        <v>-41906637.149999999</v>
      </c>
      <c r="P93" s="604"/>
      <c r="Q93" s="604">
        <v>-26882773.75</v>
      </c>
      <c r="R93" s="604">
        <v>-6521359.9500000002</v>
      </c>
      <c r="S93" s="604">
        <v>-41295435.299999997</v>
      </c>
    </row>
    <row r="94" spans="1:19">
      <c r="A94" s="502">
        <f t="shared" si="20"/>
        <v>76</v>
      </c>
      <c r="B94" s="182" t="s">
        <v>1011</v>
      </c>
      <c r="C94" s="499">
        <f t="shared" si="24"/>
        <v>571241.53</v>
      </c>
      <c r="D94" s="499">
        <f t="shared" si="22"/>
        <v>444473.36</v>
      </c>
      <c r="E94" s="499"/>
      <c r="F94" s="499"/>
      <c r="G94" s="499">
        <f t="shared" si="23"/>
        <v>507857</v>
      </c>
      <c r="H94" s="499"/>
      <c r="I94" s="499">
        <f t="shared" si="25"/>
        <v>0</v>
      </c>
      <c r="J94" s="499">
        <f t="shared" si="25"/>
        <v>507857.44500000001</v>
      </c>
      <c r="K94" s="499">
        <f t="shared" si="25"/>
        <v>0</v>
      </c>
      <c r="L94" s="499"/>
      <c r="M94" s="506">
        <v>0</v>
      </c>
      <c r="N94" s="506">
        <v>571241.53</v>
      </c>
      <c r="O94" s="506">
        <v>0</v>
      </c>
      <c r="P94" s="499"/>
      <c r="Q94" s="506">
        <v>0</v>
      </c>
      <c r="R94" s="506">
        <v>444473.36</v>
      </c>
      <c r="S94" s="506">
        <v>0</v>
      </c>
    </row>
    <row r="95" spans="1:19">
      <c r="A95" s="502">
        <f t="shared" si="20"/>
        <v>77</v>
      </c>
      <c r="B95" s="182" t="s">
        <v>1012</v>
      </c>
      <c r="C95" s="499">
        <f t="shared" si="24"/>
        <v>33567.800000000003</v>
      </c>
      <c r="D95" s="499">
        <f t="shared" si="22"/>
        <v>33567.800000000003</v>
      </c>
      <c r="E95" s="499"/>
      <c r="F95" s="499"/>
      <c r="G95" s="499">
        <f t="shared" si="23"/>
        <v>33568</v>
      </c>
      <c r="H95" s="499"/>
      <c r="I95" s="499">
        <f t="shared" si="25"/>
        <v>33567.800000000003</v>
      </c>
      <c r="J95" s="499">
        <f t="shared" si="25"/>
        <v>0</v>
      </c>
      <c r="K95" s="499">
        <f t="shared" si="25"/>
        <v>0</v>
      </c>
      <c r="L95" s="499"/>
      <c r="M95" s="506">
        <v>33567.800000000003</v>
      </c>
      <c r="N95" s="506">
        <v>0</v>
      </c>
      <c r="O95" s="506">
        <v>0</v>
      </c>
      <c r="P95" s="499"/>
      <c r="Q95" s="506">
        <v>33567.800000000003</v>
      </c>
      <c r="R95" s="506">
        <v>0</v>
      </c>
      <c r="S95" s="506">
        <v>0</v>
      </c>
    </row>
    <row r="96" spans="1:19">
      <c r="A96" s="502">
        <f t="shared" si="20"/>
        <v>78</v>
      </c>
      <c r="B96" s="182" t="s">
        <v>24</v>
      </c>
      <c r="C96" s="499">
        <f t="shared" si="24"/>
        <v>45312.05</v>
      </c>
      <c r="D96" s="499">
        <f t="shared" si="22"/>
        <v>45312.05</v>
      </c>
      <c r="E96" s="499"/>
      <c r="F96" s="499"/>
      <c r="G96" s="499">
        <f t="shared" si="23"/>
        <v>45312</v>
      </c>
      <c r="H96" s="499"/>
      <c r="I96" s="499">
        <f t="shared" si="25"/>
        <v>0</v>
      </c>
      <c r="J96" s="499">
        <f t="shared" si="25"/>
        <v>18841.900000000001</v>
      </c>
      <c r="K96" s="499">
        <f t="shared" si="25"/>
        <v>26470.15</v>
      </c>
      <c r="L96" s="499"/>
      <c r="M96" s="506">
        <v>0</v>
      </c>
      <c r="N96" s="506">
        <v>18841.900000000001</v>
      </c>
      <c r="O96" s="506">
        <v>26470.15</v>
      </c>
      <c r="P96" s="499"/>
      <c r="Q96" s="506">
        <v>0</v>
      </c>
      <c r="R96" s="506">
        <v>18841.900000000001</v>
      </c>
      <c r="S96" s="506">
        <v>26470.15</v>
      </c>
    </row>
    <row r="97" spans="1:19">
      <c r="A97" s="502">
        <f t="shared" si="20"/>
        <v>79</v>
      </c>
      <c r="B97" s="182" t="s">
        <v>25</v>
      </c>
      <c r="C97" s="499">
        <f t="shared" si="24"/>
        <v>-15741.95</v>
      </c>
      <c r="D97" s="499">
        <f t="shared" si="22"/>
        <v>-15741.95</v>
      </c>
      <c r="E97" s="499"/>
      <c r="F97" s="499"/>
      <c r="G97" s="499">
        <f t="shared" si="23"/>
        <v>-15742</v>
      </c>
      <c r="H97" s="499"/>
      <c r="I97" s="499">
        <f t="shared" si="25"/>
        <v>0</v>
      </c>
      <c r="J97" s="499">
        <f t="shared" si="25"/>
        <v>-11175.15</v>
      </c>
      <c r="K97" s="499">
        <f t="shared" si="25"/>
        <v>-4566.8</v>
      </c>
      <c r="L97" s="499"/>
      <c r="M97" s="506">
        <v>0</v>
      </c>
      <c r="N97" s="506">
        <v>-11175.15</v>
      </c>
      <c r="O97" s="506">
        <v>-4566.8</v>
      </c>
      <c r="P97" s="499"/>
      <c r="Q97" s="506">
        <v>0</v>
      </c>
      <c r="R97" s="506">
        <v>-11175.15</v>
      </c>
      <c r="S97" s="506">
        <v>-4566.8</v>
      </c>
    </row>
    <row r="98" spans="1:19">
      <c r="A98" s="502">
        <f t="shared" si="20"/>
        <v>80</v>
      </c>
      <c r="B98" s="182" t="s">
        <v>1013</v>
      </c>
      <c r="C98" s="499">
        <f t="shared" si="24"/>
        <v>340471.61</v>
      </c>
      <c r="D98" s="499">
        <f t="shared" si="22"/>
        <v>284823.01</v>
      </c>
      <c r="E98" s="499"/>
      <c r="F98" s="499"/>
      <c r="G98" s="499">
        <f t="shared" si="23"/>
        <v>312647</v>
      </c>
      <c r="H98" s="499"/>
      <c r="I98" s="499">
        <f t="shared" si="25"/>
        <v>312647.31</v>
      </c>
      <c r="J98" s="499">
        <f t="shared" si="25"/>
        <v>0</v>
      </c>
      <c r="K98" s="499">
        <f t="shared" si="25"/>
        <v>0</v>
      </c>
      <c r="L98" s="499"/>
      <c r="M98" s="506">
        <v>340471.61</v>
      </c>
      <c r="N98" s="506">
        <v>0</v>
      </c>
      <c r="O98" s="506">
        <v>0</v>
      </c>
      <c r="P98" s="499"/>
      <c r="Q98" s="506">
        <v>284823.01</v>
      </c>
      <c r="R98" s="506">
        <v>0</v>
      </c>
      <c r="S98" s="506">
        <v>0</v>
      </c>
    </row>
    <row r="99" spans="1:19">
      <c r="A99" s="502">
        <f t="shared" si="20"/>
        <v>81</v>
      </c>
      <c r="B99" s="182" t="s">
        <v>26</v>
      </c>
      <c r="C99" s="499">
        <f t="shared" si="24"/>
        <v>25281917.199999999</v>
      </c>
      <c r="D99" s="499">
        <f t="shared" si="22"/>
        <v>18331896.050000001</v>
      </c>
      <c r="E99" s="499"/>
      <c r="F99" s="499"/>
      <c r="G99" s="499">
        <f t="shared" si="23"/>
        <v>21806907</v>
      </c>
      <c r="H99" s="499"/>
      <c r="I99" s="499">
        <f t="shared" si="25"/>
        <v>0</v>
      </c>
      <c r="J99" s="499">
        <f t="shared" si="25"/>
        <v>0</v>
      </c>
      <c r="K99" s="499">
        <f t="shared" si="25"/>
        <v>21806906.625</v>
      </c>
      <c r="L99" s="499"/>
      <c r="M99" s="506">
        <v>0</v>
      </c>
      <c r="N99" s="506">
        <v>0</v>
      </c>
      <c r="O99" s="506">
        <v>25281917.199999999</v>
      </c>
      <c r="P99" s="499"/>
      <c r="Q99" s="506">
        <v>0</v>
      </c>
      <c r="R99" s="506">
        <v>0</v>
      </c>
      <c r="S99" s="506">
        <v>18331896.050000001</v>
      </c>
    </row>
    <row r="100" spans="1:19">
      <c r="A100" s="502">
        <f t="shared" si="20"/>
        <v>82</v>
      </c>
      <c r="B100" s="182" t="s">
        <v>1014</v>
      </c>
      <c r="C100" s="499">
        <f t="shared" si="24"/>
        <v>0</v>
      </c>
      <c r="D100" s="499">
        <f t="shared" si="22"/>
        <v>0</v>
      </c>
      <c r="E100" s="499"/>
      <c r="F100" s="499"/>
      <c r="G100" s="499">
        <f t="shared" si="23"/>
        <v>0</v>
      </c>
      <c r="H100" s="499"/>
      <c r="I100" s="499">
        <f t="shared" si="25"/>
        <v>0</v>
      </c>
      <c r="J100" s="499">
        <f t="shared" si="25"/>
        <v>0</v>
      </c>
      <c r="K100" s="499">
        <f t="shared" si="25"/>
        <v>0</v>
      </c>
      <c r="L100" s="499"/>
      <c r="M100" s="506">
        <v>0</v>
      </c>
      <c r="N100" s="506">
        <v>0</v>
      </c>
      <c r="O100" s="506">
        <v>0</v>
      </c>
      <c r="P100" s="499"/>
      <c r="Q100" s="506">
        <v>0</v>
      </c>
      <c r="R100" s="506">
        <v>0</v>
      </c>
      <c r="S100" s="506">
        <v>0</v>
      </c>
    </row>
    <row r="101" spans="1:19">
      <c r="A101" s="502">
        <f t="shared" si="20"/>
        <v>83</v>
      </c>
      <c r="B101" s="182" t="s">
        <v>1015</v>
      </c>
      <c r="C101" s="499">
        <f t="shared" si="24"/>
        <v>1245298.18</v>
      </c>
      <c r="D101" s="499">
        <f t="shared" si="22"/>
        <v>1576687.75</v>
      </c>
      <c r="E101" s="499"/>
      <c r="F101" s="499"/>
      <c r="G101" s="499">
        <f t="shared" si="23"/>
        <v>1410993</v>
      </c>
      <c r="H101" s="499"/>
      <c r="I101" s="499">
        <f t="shared" si="25"/>
        <v>0</v>
      </c>
      <c r="J101" s="499">
        <f t="shared" si="25"/>
        <v>0</v>
      </c>
      <c r="K101" s="499">
        <f t="shared" si="25"/>
        <v>1410992.9649999999</v>
      </c>
      <c r="L101" s="499"/>
      <c r="M101" s="506">
        <v>0</v>
      </c>
      <c r="N101" s="506">
        <v>0</v>
      </c>
      <c r="O101" s="506">
        <v>1245298.18</v>
      </c>
      <c r="P101" s="499"/>
      <c r="Q101" s="506">
        <v>0</v>
      </c>
      <c r="R101" s="506">
        <v>0</v>
      </c>
      <c r="S101" s="506">
        <v>1576687.75</v>
      </c>
    </row>
    <row r="102" spans="1:19">
      <c r="A102" s="502">
        <f t="shared" si="20"/>
        <v>84</v>
      </c>
      <c r="B102" s="620" t="s">
        <v>962</v>
      </c>
      <c r="C102" s="608">
        <f t="shared" si="24"/>
        <v>154926</v>
      </c>
      <c r="D102" s="608">
        <f t="shared" si="22"/>
        <v>154926</v>
      </c>
      <c r="E102" s="608"/>
      <c r="F102" s="608"/>
      <c r="G102" s="608">
        <f t="shared" si="23"/>
        <v>154926</v>
      </c>
      <c r="H102" s="608"/>
      <c r="I102" s="608">
        <f t="shared" si="25"/>
        <v>154926</v>
      </c>
      <c r="J102" s="608">
        <f t="shared" si="25"/>
        <v>0</v>
      </c>
      <c r="K102" s="608">
        <f t="shared" si="25"/>
        <v>0</v>
      </c>
      <c r="L102" s="608"/>
      <c r="M102" s="608">
        <v>154926</v>
      </c>
      <c r="N102" s="608">
        <v>0</v>
      </c>
      <c r="O102" s="608">
        <v>0</v>
      </c>
      <c r="P102" s="608"/>
      <c r="Q102" s="608">
        <v>154926</v>
      </c>
      <c r="R102" s="608">
        <v>0</v>
      </c>
      <c r="S102" s="608">
        <v>0</v>
      </c>
    </row>
    <row r="103" spans="1:19">
      <c r="A103" s="502">
        <f t="shared" si="20"/>
        <v>85</v>
      </c>
      <c r="B103" s="607" t="s">
        <v>1016</v>
      </c>
      <c r="C103" s="608">
        <f t="shared" si="24"/>
        <v>9007271.6500000004</v>
      </c>
      <c r="D103" s="608">
        <f t="shared" si="22"/>
        <v>8894213.9499999993</v>
      </c>
      <c r="E103" s="608"/>
      <c r="F103" s="608"/>
      <c r="G103" s="608">
        <f>ROUND(SUM(C103:F103)/2,0)</f>
        <v>8950743</v>
      </c>
      <c r="H103" s="608"/>
      <c r="I103" s="608">
        <f t="shared" si="25"/>
        <v>8950742.8000000007</v>
      </c>
      <c r="J103" s="608">
        <f t="shared" si="25"/>
        <v>0</v>
      </c>
      <c r="K103" s="608">
        <f t="shared" si="25"/>
        <v>0</v>
      </c>
      <c r="L103" s="608"/>
      <c r="M103" s="608">
        <v>9007271.6500000004</v>
      </c>
      <c r="N103" s="608">
        <v>0</v>
      </c>
      <c r="O103" s="608">
        <v>0</v>
      </c>
      <c r="P103" s="608"/>
      <c r="Q103" s="608">
        <v>8894213.9499999993</v>
      </c>
      <c r="R103" s="608">
        <v>0</v>
      </c>
      <c r="S103" s="608">
        <v>0</v>
      </c>
    </row>
    <row r="104" spans="1:19">
      <c r="A104" s="502">
        <f t="shared" si="20"/>
        <v>86</v>
      </c>
      <c r="B104" s="607" t="s">
        <v>1017</v>
      </c>
      <c r="C104" s="608">
        <f t="shared" si="24"/>
        <v>-375757.85</v>
      </c>
      <c r="D104" s="608">
        <f t="shared" si="22"/>
        <v>-375757.85</v>
      </c>
      <c r="E104" s="608"/>
      <c r="F104" s="608"/>
      <c r="G104" s="608">
        <f t="shared" si="23"/>
        <v>-375758</v>
      </c>
      <c r="H104" s="608"/>
      <c r="I104" s="608">
        <f t="shared" si="25"/>
        <v>-375757.85</v>
      </c>
      <c r="J104" s="608">
        <f t="shared" si="25"/>
        <v>0</v>
      </c>
      <c r="K104" s="608">
        <f t="shared" si="25"/>
        <v>0</v>
      </c>
      <c r="L104" s="608"/>
      <c r="M104" s="608">
        <v>-375757.85</v>
      </c>
      <c r="N104" s="608">
        <v>0</v>
      </c>
      <c r="O104" s="608">
        <v>0</v>
      </c>
      <c r="P104" s="608"/>
      <c r="Q104" s="608">
        <v>-375757.85</v>
      </c>
      <c r="R104" s="608">
        <v>0</v>
      </c>
      <c r="S104" s="608">
        <v>0</v>
      </c>
    </row>
    <row r="105" spans="1:19">
      <c r="A105" s="502">
        <f t="shared" si="20"/>
        <v>87</v>
      </c>
      <c r="B105" s="182" t="s">
        <v>79</v>
      </c>
      <c r="C105" s="499">
        <f t="shared" si="24"/>
        <v>-11907.75</v>
      </c>
      <c r="D105" s="499">
        <f t="shared" si="22"/>
        <v>-11907.75</v>
      </c>
      <c r="E105" s="499"/>
      <c r="F105" s="499"/>
      <c r="G105" s="499">
        <f t="shared" si="23"/>
        <v>-11908</v>
      </c>
      <c r="H105" s="499"/>
      <c r="I105" s="499">
        <f t="shared" si="25"/>
        <v>-11907.75</v>
      </c>
      <c r="J105" s="499">
        <f t="shared" si="25"/>
        <v>0</v>
      </c>
      <c r="K105" s="499">
        <f t="shared" si="25"/>
        <v>0</v>
      </c>
      <c r="L105" s="499"/>
      <c r="M105" s="506">
        <v>-11907.75</v>
      </c>
      <c r="N105" s="506">
        <v>0</v>
      </c>
      <c r="O105" s="506">
        <v>0</v>
      </c>
      <c r="P105" s="499"/>
      <c r="Q105" s="506">
        <v>-11907.75</v>
      </c>
      <c r="R105" s="506">
        <v>0</v>
      </c>
      <c r="S105" s="506">
        <v>0</v>
      </c>
    </row>
    <row r="106" spans="1:19">
      <c r="A106" s="502">
        <f t="shared" si="20"/>
        <v>88</v>
      </c>
      <c r="B106" s="416" t="s">
        <v>40</v>
      </c>
      <c r="C106" s="499">
        <f t="shared" si="24"/>
        <v>0</v>
      </c>
      <c r="D106" s="499">
        <f t="shared" si="22"/>
        <v>0</v>
      </c>
      <c r="E106" s="499"/>
      <c r="F106" s="499"/>
      <c r="G106" s="499">
        <f>ROUND(SUM(C106:F106)/2,0)</f>
        <v>0</v>
      </c>
      <c r="H106" s="499"/>
      <c r="I106" s="499">
        <f t="shared" si="25"/>
        <v>0</v>
      </c>
      <c r="J106" s="499">
        <f t="shared" si="25"/>
        <v>0</v>
      </c>
      <c r="K106" s="499">
        <f t="shared" si="25"/>
        <v>0</v>
      </c>
      <c r="L106" s="499"/>
      <c r="M106" s="506">
        <v>0</v>
      </c>
      <c r="N106" s="506">
        <v>0</v>
      </c>
      <c r="O106" s="506">
        <v>0</v>
      </c>
      <c r="P106" s="499"/>
      <c r="Q106" s="506">
        <v>0</v>
      </c>
      <c r="R106" s="506">
        <v>0</v>
      </c>
      <c r="S106" s="506">
        <v>0</v>
      </c>
    </row>
    <row r="107" spans="1:19">
      <c r="A107" s="502">
        <f t="shared" si="20"/>
        <v>89</v>
      </c>
      <c r="B107" s="182" t="s">
        <v>27</v>
      </c>
      <c r="C107" s="499">
        <f t="shared" si="24"/>
        <v>441889.74</v>
      </c>
      <c r="D107" s="499">
        <f t="shared" si="22"/>
        <v>247764.74</v>
      </c>
      <c r="E107" s="499"/>
      <c r="F107" s="499"/>
      <c r="G107" s="499">
        <f t="shared" si="23"/>
        <v>344827</v>
      </c>
      <c r="H107" s="499"/>
      <c r="I107" s="499">
        <f t="shared" si="25"/>
        <v>0</v>
      </c>
      <c r="J107" s="499">
        <f t="shared" si="25"/>
        <v>0</v>
      </c>
      <c r="K107" s="499">
        <f t="shared" si="25"/>
        <v>344827.24</v>
      </c>
      <c r="L107" s="499"/>
      <c r="M107" s="506">
        <v>0</v>
      </c>
      <c r="N107" s="506">
        <v>0</v>
      </c>
      <c r="O107" s="506">
        <v>441889.74</v>
      </c>
      <c r="P107" s="499"/>
      <c r="Q107" s="506">
        <v>0</v>
      </c>
      <c r="R107" s="506">
        <v>0</v>
      </c>
      <c r="S107" s="506">
        <v>247764.74</v>
      </c>
    </row>
    <row r="108" spans="1:19">
      <c r="A108" s="502">
        <f t="shared" si="20"/>
        <v>90</v>
      </c>
      <c r="B108" s="182" t="s">
        <v>28</v>
      </c>
      <c r="C108" s="499">
        <f t="shared" si="24"/>
        <v>-0.97</v>
      </c>
      <c r="D108" s="499">
        <f t="shared" si="22"/>
        <v>-0.97</v>
      </c>
      <c r="E108" s="499"/>
      <c r="F108" s="499"/>
      <c r="G108" s="499">
        <f t="shared" si="23"/>
        <v>-1</v>
      </c>
      <c r="H108" s="499"/>
      <c r="I108" s="499">
        <f t="shared" si="25"/>
        <v>0</v>
      </c>
      <c r="J108" s="499">
        <f t="shared" si="25"/>
        <v>0</v>
      </c>
      <c r="K108" s="499">
        <f t="shared" si="25"/>
        <v>-0.97</v>
      </c>
      <c r="L108" s="499"/>
      <c r="M108" s="506">
        <v>0</v>
      </c>
      <c r="N108" s="506">
        <v>0</v>
      </c>
      <c r="O108" s="506">
        <v>-0.97</v>
      </c>
      <c r="P108" s="499"/>
      <c r="Q108" s="506">
        <v>0</v>
      </c>
      <c r="R108" s="506">
        <v>0</v>
      </c>
      <c r="S108" s="506">
        <v>-0.97</v>
      </c>
    </row>
    <row r="109" spans="1:19">
      <c r="A109" s="502">
        <f t="shared" si="20"/>
        <v>91</v>
      </c>
      <c r="B109" s="507" t="s">
        <v>1018</v>
      </c>
      <c r="C109" s="508">
        <f t="shared" si="24"/>
        <v>833810.76</v>
      </c>
      <c r="D109" s="508">
        <f t="shared" si="22"/>
        <v>209655.96</v>
      </c>
      <c r="E109" s="508"/>
      <c r="F109" s="508"/>
      <c r="G109" s="508">
        <f t="shared" si="23"/>
        <v>521733</v>
      </c>
      <c r="H109" s="508"/>
      <c r="I109" s="508">
        <f t="shared" si="25"/>
        <v>521733.36</v>
      </c>
      <c r="J109" s="508">
        <f t="shared" si="25"/>
        <v>0</v>
      </c>
      <c r="K109" s="508">
        <f t="shared" si="25"/>
        <v>0</v>
      </c>
      <c r="L109" s="508"/>
      <c r="M109" s="508">
        <v>833810.76</v>
      </c>
      <c r="N109" s="508">
        <v>0</v>
      </c>
      <c r="O109" s="508">
        <v>0</v>
      </c>
      <c r="P109" s="508"/>
      <c r="Q109" s="508">
        <v>209655.96</v>
      </c>
      <c r="R109" s="508">
        <v>0</v>
      </c>
      <c r="S109" s="508">
        <v>0</v>
      </c>
    </row>
    <row r="110" spans="1:19">
      <c r="A110" s="502">
        <f t="shared" si="20"/>
        <v>92</v>
      </c>
      <c r="B110" s="621" t="s">
        <v>1019</v>
      </c>
      <c r="C110" s="604">
        <f t="shared" si="24"/>
        <v>76188362.949999988</v>
      </c>
      <c r="D110" s="604">
        <f t="shared" si="22"/>
        <v>74699569</v>
      </c>
      <c r="E110" s="604"/>
      <c r="F110" s="604"/>
      <c r="G110" s="604">
        <f t="shared" si="23"/>
        <v>75443966</v>
      </c>
      <c r="H110" s="604"/>
      <c r="I110" s="604">
        <f t="shared" si="25"/>
        <v>27525531.25</v>
      </c>
      <c r="J110" s="604">
        <f t="shared" si="25"/>
        <v>6317398.5</v>
      </c>
      <c r="K110" s="604">
        <f t="shared" si="25"/>
        <v>41601036.224999994</v>
      </c>
      <c r="L110" s="604"/>
      <c r="M110" s="604">
        <v>28168288.75</v>
      </c>
      <c r="N110" s="604">
        <v>6113437.0499999998</v>
      </c>
      <c r="O110" s="604">
        <v>41906637.149999999</v>
      </c>
      <c r="P110" s="604"/>
      <c r="Q110" s="604">
        <v>26882773.75</v>
      </c>
      <c r="R110" s="604">
        <v>6521359.9500000002</v>
      </c>
      <c r="S110" s="604">
        <v>41295435.299999997</v>
      </c>
    </row>
    <row r="111" spans="1:19">
      <c r="A111" s="502">
        <f t="shared" si="20"/>
        <v>93</v>
      </c>
      <c r="B111" s="621" t="s">
        <v>1020</v>
      </c>
      <c r="C111" s="604">
        <f t="shared" si="24"/>
        <v>219608.19999999998</v>
      </c>
      <c r="D111" s="604">
        <f t="shared" si="22"/>
        <v>112074.2</v>
      </c>
      <c r="E111" s="604"/>
      <c r="F111" s="604"/>
      <c r="G111" s="604">
        <f t="shared" si="23"/>
        <v>165841</v>
      </c>
      <c r="H111" s="604"/>
      <c r="I111" s="604">
        <f t="shared" si="25"/>
        <v>-42.875</v>
      </c>
      <c r="J111" s="604">
        <f t="shared" si="25"/>
        <v>0</v>
      </c>
      <c r="K111" s="604">
        <f t="shared" si="25"/>
        <v>165884.07500000001</v>
      </c>
      <c r="L111" s="604"/>
      <c r="M111" s="604">
        <v>-68.95</v>
      </c>
      <c r="N111" s="604">
        <v>0</v>
      </c>
      <c r="O111" s="604">
        <v>219677.15</v>
      </c>
      <c r="P111" s="604"/>
      <c r="Q111" s="604">
        <v>-16.8</v>
      </c>
      <c r="R111" s="604">
        <v>0</v>
      </c>
      <c r="S111" s="604">
        <v>112091</v>
      </c>
    </row>
    <row r="112" spans="1:19">
      <c r="A112" s="502">
        <f t="shared" si="20"/>
        <v>94</v>
      </c>
      <c r="B112" s="621" t="s">
        <v>1021</v>
      </c>
      <c r="C112" s="604">
        <f t="shared" si="24"/>
        <v>-246151.8</v>
      </c>
      <c r="D112" s="604">
        <f t="shared" si="22"/>
        <v>2683388.75</v>
      </c>
      <c r="E112" s="604"/>
      <c r="F112" s="604"/>
      <c r="G112" s="604">
        <f t="shared" si="23"/>
        <v>1218618</v>
      </c>
      <c r="H112" s="604"/>
      <c r="I112" s="604">
        <f t="shared" si="25"/>
        <v>409673.54499999998</v>
      </c>
      <c r="J112" s="604">
        <f t="shared" si="25"/>
        <v>211818.21</v>
      </c>
      <c r="K112" s="604">
        <f t="shared" si="25"/>
        <v>597126.72</v>
      </c>
      <c r="L112" s="604"/>
      <c r="M112" s="604">
        <v>-190438.76</v>
      </c>
      <c r="N112" s="604">
        <v>104325.7</v>
      </c>
      <c r="O112" s="604">
        <v>-160038.74</v>
      </c>
      <c r="P112" s="604"/>
      <c r="Q112" s="604">
        <v>1009785.85</v>
      </c>
      <c r="R112" s="604">
        <v>319310.71999999997</v>
      </c>
      <c r="S112" s="604">
        <v>1354292.18</v>
      </c>
    </row>
    <row r="113" spans="1:19">
      <c r="A113" s="502">
        <f t="shared" si="20"/>
        <v>95</v>
      </c>
      <c r="B113" s="416" t="s">
        <v>1022</v>
      </c>
      <c r="C113" s="499">
        <f t="shared" si="24"/>
        <v>26114288.02</v>
      </c>
      <c r="D113" s="499">
        <f t="shared" si="22"/>
        <v>13530393.390000001</v>
      </c>
      <c r="E113" s="499"/>
      <c r="F113" s="499"/>
      <c r="G113" s="499">
        <f t="shared" si="23"/>
        <v>19822341</v>
      </c>
      <c r="H113" s="499"/>
      <c r="I113" s="499">
        <f t="shared" si="25"/>
        <v>0</v>
      </c>
      <c r="J113" s="499">
        <f t="shared" si="25"/>
        <v>19822340.704999998</v>
      </c>
      <c r="K113" s="499">
        <f t="shared" si="25"/>
        <v>0</v>
      </c>
      <c r="L113" s="499"/>
      <c r="M113" s="506">
        <v>0</v>
      </c>
      <c r="N113" s="506">
        <v>26114288.02</v>
      </c>
      <c r="O113" s="506">
        <v>0</v>
      </c>
      <c r="P113" s="499"/>
      <c r="Q113" s="506">
        <v>0</v>
      </c>
      <c r="R113" s="506">
        <v>13530393.390000001</v>
      </c>
      <c r="S113" s="506">
        <v>0</v>
      </c>
    </row>
    <row r="114" spans="1:19">
      <c r="A114" s="502">
        <f t="shared" si="20"/>
        <v>96</v>
      </c>
      <c r="B114" s="416" t="s">
        <v>1023</v>
      </c>
      <c r="C114" s="499">
        <f t="shared" si="24"/>
        <v>-4977311.09</v>
      </c>
      <c r="D114" s="499">
        <f t="shared" si="22"/>
        <v>-5905778.6299999999</v>
      </c>
      <c r="E114" s="499"/>
      <c r="F114" s="499"/>
      <c r="G114" s="499">
        <f t="shared" si="23"/>
        <v>-5441545</v>
      </c>
      <c r="H114" s="499"/>
      <c r="I114" s="499">
        <f t="shared" si="25"/>
        <v>-5441544.8599999994</v>
      </c>
      <c r="J114" s="499">
        <f t="shared" si="25"/>
        <v>0</v>
      </c>
      <c r="K114" s="499">
        <f t="shared" si="25"/>
        <v>0</v>
      </c>
      <c r="L114" s="499"/>
      <c r="M114" s="506">
        <v>-4977311.09</v>
      </c>
      <c r="N114" s="506">
        <v>0</v>
      </c>
      <c r="O114" s="506">
        <v>0</v>
      </c>
      <c r="P114" s="499"/>
      <c r="Q114" s="506">
        <v>-5905778.6299999999</v>
      </c>
      <c r="R114" s="506">
        <v>0</v>
      </c>
      <c r="S114" s="506">
        <v>0</v>
      </c>
    </row>
    <row r="115" spans="1:19">
      <c r="A115" s="502">
        <f t="shared" si="20"/>
        <v>97</v>
      </c>
      <c r="B115" s="620" t="s">
        <v>1024</v>
      </c>
      <c r="C115" s="608">
        <f t="shared" si="24"/>
        <v>0</v>
      </c>
      <c r="D115" s="608">
        <f t="shared" si="22"/>
        <v>0</v>
      </c>
      <c r="E115" s="608"/>
      <c r="F115" s="608"/>
      <c r="G115" s="608">
        <f t="shared" si="23"/>
        <v>0</v>
      </c>
      <c r="H115" s="608"/>
      <c r="I115" s="608">
        <f t="shared" si="25"/>
        <v>0</v>
      </c>
      <c r="J115" s="608">
        <f t="shared" si="25"/>
        <v>0</v>
      </c>
      <c r="K115" s="608">
        <f t="shared" si="25"/>
        <v>0</v>
      </c>
      <c r="L115" s="608"/>
      <c r="M115" s="608">
        <v>0</v>
      </c>
      <c r="N115" s="608">
        <v>0</v>
      </c>
      <c r="O115" s="608">
        <v>0</v>
      </c>
      <c r="P115" s="608"/>
      <c r="Q115" s="608">
        <v>0</v>
      </c>
      <c r="R115" s="608">
        <v>0</v>
      </c>
      <c r="S115" s="608">
        <v>0</v>
      </c>
    </row>
    <row r="116" spans="1:19">
      <c r="A116" s="502">
        <f t="shared" si="20"/>
        <v>98</v>
      </c>
      <c r="B116" s="620" t="s">
        <v>1025</v>
      </c>
      <c r="C116" s="608">
        <f t="shared" si="24"/>
        <v>0</v>
      </c>
      <c r="D116" s="608">
        <f t="shared" si="22"/>
        <v>0</v>
      </c>
      <c r="E116" s="608"/>
      <c r="F116" s="608"/>
      <c r="G116" s="608">
        <f t="shared" si="23"/>
        <v>0</v>
      </c>
      <c r="H116" s="608"/>
      <c r="I116" s="608">
        <f t="shared" si="25"/>
        <v>0</v>
      </c>
      <c r="J116" s="608">
        <f t="shared" si="25"/>
        <v>0</v>
      </c>
      <c r="K116" s="608">
        <f t="shared" si="25"/>
        <v>0</v>
      </c>
      <c r="L116" s="608"/>
      <c r="M116" s="608">
        <v>0</v>
      </c>
      <c r="N116" s="608">
        <v>0</v>
      </c>
      <c r="O116" s="608">
        <v>0</v>
      </c>
      <c r="P116" s="608"/>
      <c r="Q116" s="608">
        <v>0</v>
      </c>
      <c r="R116" s="608">
        <v>0</v>
      </c>
      <c r="S116" s="608">
        <v>0</v>
      </c>
    </row>
    <row r="117" spans="1:19">
      <c r="A117" s="502">
        <f t="shared" si="20"/>
        <v>99</v>
      </c>
      <c r="B117" s="182" t="s">
        <v>29</v>
      </c>
      <c r="C117" s="499">
        <f t="shared" si="24"/>
        <v>0</v>
      </c>
      <c r="D117" s="499">
        <f t="shared" si="22"/>
        <v>0</v>
      </c>
      <c r="E117" s="499"/>
      <c r="F117" s="499"/>
      <c r="G117" s="499">
        <f t="shared" si="23"/>
        <v>0</v>
      </c>
      <c r="H117" s="499"/>
      <c r="I117" s="499">
        <f t="shared" si="25"/>
        <v>0</v>
      </c>
      <c r="J117" s="499">
        <f t="shared" si="25"/>
        <v>0</v>
      </c>
      <c r="K117" s="499">
        <f t="shared" si="25"/>
        <v>0</v>
      </c>
      <c r="L117" s="499"/>
      <c r="M117" s="506">
        <v>0</v>
      </c>
      <c r="N117" s="506">
        <v>0</v>
      </c>
      <c r="O117" s="506">
        <v>0</v>
      </c>
      <c r="P117" s="499"/>
      <c r="Q117" s="506">
        <v>0</v>
      </c>
      <c r="R117" s="506">
        <v>0</v>
      </c>
      <c r="S117" s="506">
        <v>0</v>
      </c>
    </row>
    <row r="118" spans="1:19">
      <c r="A118" s="502">
        <f t="shared" si="20"/>
        <v>100</v>
      </c>
      <c r="B118" s="182" t="s">
        <v>963</v>
      </c>
      <c r="C118" s="499">
        <f t="shared" si="24"/>
        <v>-3283271.29</v>
      </c>
      <c r="D118" s="499">
        <f t="shared" si="22"/>
        <v>-3985324.1399999997</v>
      </c>
      <c r="E118" s="499"/>
      <c r="F118" s="499"/>
      <c r="G118" s="499">
        <f t="shared" si="23"/>
        <v>-3634298</v>
      </c>
      <c r="H118" s="499"/>
      <c r="I118" s="499">
        <f t="shared" si="25"/>
        <v>-4182085.6999999997</v>
      </c>
      <c r="J118" s="499">
        <f t="shared" si="25"/>
        <v>86025.8</v>
      </c>
      <c r="K118" s="499">
        <f t="shared" si="25"/>
        <v>461762.18499999994</v>
      </c>
      <c r="L118" s="499"/>
      <c r="M118" s="506">
        <v>-3987570.09</v>
      </c>
      <c r="N118" s="506">
        <v>110604.6</v>
      </c>
      <c r="O118" s="506">
        <v>593694.19999999995</v>
      </c>
      <c r="P118" s="499"/>
      <c r="Q118" s="506">
        <v>-4376601.3099999996</v>
      </c>
      <c r="R118" s="506">
        <v>61447</v>
      </c>
      <c r="S118" s="506">
        <v>329830.17</v>
      </c>
    </row>
    <row r="119" spans="1:19">
      <c r="A119" s="502">
        <f t="shared" si="20"/>
        <v>101</v>
      </c>
      <c r="B119" s="182" t="s">
        <v>30</v>
      </c>
      <c r="C119" s="499">
        <f t="shared" si="24"/>
        <v>603750.02</v>
      </c>
      <c r="D119" s="499">
        <f t="shared" si="22"/>
        <v>0</v>
      </c>
      <c r="E119" s="499"/>
      <c r="F119" s="499"/>
      <c r="G119" s="499">
        <f t="shared" si="23"/>
        <v>301875</v>
      </c>
      <c r="H119" s="499"/>
      <c r="I119" s="499">
        <f t="shared" si="25"/>
        <v>301875.01</v>
      </c>
      <c r="J119" s="499">
        <f t="shared" si="25"/>
        <v>0</v>
      </c>
      <c r="K119" s="499">
        <f t="shared" si="25"/>
        <v>0</v>
      </c>
      <c r="L119" s="499"/>
      <c r="M119" s="506">
        <v>603750.02</v>
      </c>
      <c r="N119" s="506">
        <v>0</v>
      </c>
      <c r="O119" s="506">
        <v>0</v>
      </c>
      <c r="P119" s="499"/>
      <c r="Q119" s="506">
        <v>0</v>
      </c>
      <c r="R119" s="506">
        <v>0</v>
      </c>
      <c r="S119" s="506">
        <v>0</v>
      </c>
    </row>
    <row r="120" spans="1:19">
      <c r="A120" s="502">
        <f t="shared" si="20"/>
        <v>102</v>
      </c>
      <c r="B120" s="182" t="s">
        <v>31</v>
      </c>
      <c r="C120" s="499">
        <f t="shared" si="24"/>
        <v>0</v>
      </c>
      <c r="D120" s="499">
        <f t="shared" si="22"/>
        <v>0</v>
      </c>
      <c r="E120" s="499"/>
      <c r="F120" s="499"/>
      <c r="G120" s="499">
        <f t="shared" si="23"/>
        <v>0</v>
      </c>
      <c r="H120" s="499"/>
      <c r="I120" s="499">
        <f t="shared" si="25"/>
        <v>0</v>
      </c>
      <c r="J120" s="499">
        <f t="shared" si="25"/>
        <v>0</v>
      </c>
      <c r="K120" s="499">
        <f t="shared" si="25"/>
        <v>0</v>
      </c>
      <c r="L120" s="499"/>
      <c r="M120" s="506">
        <v>0</v>
      </c>
      <c r="N120" s="506">
        <v>0</v>
      </c>
      <c r="O120" s="506">
        <v>0</v>
      </c>
      <c r="P120" s="499"/>
      <c r="Q120" s="506">
        <v>0</v>
      </c>
      <c r="R120" s="506">
        <v>0</v>
      </c>
      <c r="S120" s="506">
        <v>0</v>
      </c>
    </row>
    <row r="121" spans="1:19">
      <c r="A121" s="502">
        <f t="shared" si="20"/>
        <v>103</v>
      </c>
      <c r="B121" s="182" t="s">
        <v>623</v>
      </c>
      <c r="C121" s="499">
        <f t="shared" si="24"/>
        <v>413001.07</v>
      </c>
      <c r="D121" s="499">
        <f t="shared" si="22"/>
        <v>348637.25</v>
      </c>
      <c r="E121" s="499"/>
      <c r="F121" s="499"/>
      <c r="G121" s="499">
        <f t="shared" si="23"/>
        <v>380819</v>
      </c>
      <c r="H121" s="499"/>
      <c r="I121" s="499">
        <f t="shared" si="25"/>
        <v>380819.16000000003</v>
      </c>
      <c r="J121" s="499">
        <f t="shared" si="25"/>
        <v>0</v>
      </c>
      <c r="K121" s="499">
        <f t="shared" si="25"/>
        <v>0</v>
      </c>
      <c r="L121" s="499"/>
      <c r="M121" s="506">
        <v>413001.07</v>
      </c>
      <c r="N121" s="506">
        <v>0</v>
      </c>
      <c r="O121" s="506">
        <v>0</v>
      </c>
      <c r="P121" s="499"/>
      <c r="Q121" s="506">
        <v>348637.25</v>
      </c>
      <c r="R121" s="506">
        <v>0</v>
      </c>
      <c r="S121" s="506">
        <v>0</v>
      </c>
    </row>
    <row r="122" spans="1:19">
      <c r="A122" s="502">
        <f t="shared" si="20"/>
        <v>104</v>
      </c>
      <c r="B122" s="182" t="s">
        <v>964</v>
      </c>
      <c r="C122" s="499">
        <f t="shared" si="24"/>
        <v>4457806.99</v>
      </c>
      <c r="D122" s="499">
        <f t="shared" si="22"/>
        <v>5171615.54</v>
      </c>
      <c r="E122" s="499"/>
      <c r="F122" s="499"/>
      <c r="G122" s="499">
        <f t="shared" si="23"/>
        <v>4814711</v>
      </c>
      <c r="H122" s="499"/>
      <c r="I122" s="499">
        <f t="shared" si="25"/>
        <v>0</v>
      </c>
      <c r="J122" s="499">
        <f t="shared" si="25"/>
        <v>0</v>
      </c>
      <c r="K122" s="499">
        <f t="shared" si="25"/>
        <v>4814711.2650000006</v>
      </c>
      <c r="L122" s="499"/>
      <c r="M122" s="506">
        <v>0</v>
      </c>
      <c r="N122" s="506">
        <v>0</v>
      </c>
      <c r="O122" s="506">
        <v>4457806.99</v>
      </c>
      <c r="P122" s="499"/>
      <c r="Q122" s="506">
        <v>0</v>
      </c>
      <c r="R122" s="506">
        <v>0</v>
      </c>
      <c r="S122" s="506">
        <v>5171615.54</v>
      </c>
    </row>
    <row r="123" spans="1:19">
      <c r="A123" s="502">
        <f t="shared" si="20"/>
        <v>105</v>
      </c>
      <c r="B123" s="182" t="s">
        <v>965</v>
      </c>
      <c r="C123" s="499">
        <f t="shared" si="24"/>
        <v>0</v>
      </c>
      <c r="D123" s="499">
        <f t="shared" si="22"/>
        <v>0</v>
      </c>
      <c r="E123" s="499"/>
      <c r="F123" s="499"/>
      <c r="G123" s="499">
        <f t="shared" si="23"/>
        <v>0</v>
      </c>
      <c r="H123" s="499"/>
      <c r="I123" s="499">
        <f t="shared" si="25"/>
        <v>0</v>
      </c>
      <c r="J123" s="499">
        <f t="shared" si="25"/>
        <v>0</v>
      </c>
      <c r="K123" s="499">
        <f t="shared" si="25"/>
        <v>0</v>
      </c>
      <c r="L123" s="499"/>
      <c r="M123" s="506">
        <v>0</v>
      </c>
      <c r="N123" s="506">
        <v>0</v>
      </c>
      <c r="O123" s="506">
        <v>0</v>
      </c>
      <c r="P123" s="499"/>
      <c r="Q123" s="506">
        <v>0</v>
      </c>
      <c r="R123" s="506">
        <v>0</v>
      </c>
      <c r="S123" s="506">
        <v>0</v>
      </c>
    </row>
    <row r="124" spans="1:19">
      <c r="A124" s="502">
        <f t="shared" si="20"/>
        <v>106</v>
      </c>
      <c r="B124" s="182" t="s">
        <v>966</v>
      </c>
      <c r="C124" s="499">
        <f t="shared" si="24"/>
        <v>1571577.18</v>
      </c>
      <c r="D124" s="499">
        <f t="shared" si="22"/>
        <v>2452947</v>
      </c>
      <c r="E124" s="499"/>
      <c r="F124" s="499"/>
      <c r="G124" s="499">
        <f t="shared" si="23"/>
        <v>2012262</v>
      </c>
      <c r="H124" s="499"/>
      <c r="I124" s="499">
        <f t="shared" si="25"/>
        <v>2012262.0899999999</v>
      </c>
      <c r="J124" s="499">
        <f t="shared" si="25"/>
        <v>0</v>
      </c>
      <c r="K124" s="499">
        <f t="shared" si="25"/>
        <v>0</v>
      </c>
      <c r="L124" s="499"/>
      <c r="M124" s="506">
        <v>1571577.18</v>
      </c>
      <c r="N124" s="506">
        <v>0</v>
      </c>
      <c r="O124" s="506">
        <v>0</v>
      </c>
      <c r="P124" s="499"/>
      <c r="Q124" s="506">
        <v>2452947</v>
      </c>
      <c r="R124" s="506">
        <v>0</v>
      </c>
      <c r="S124" s="506">
        <v>0</v>
      </c>
    </row>
    <row r="125" spans="1:19">
      <c r="A125" s="502">
        <f t="shared" si="20"/>
        <v>107</v>
      </c>
      <c r="B125" s="182" t="s">
        <v>967</v>
      </c>
      <c r="C125" s="499">
        <f t="shared" si="24"/>
        <v>282167</v>
      </c>
      <c r="D125" s="499">
        <f t="shared" si="22"/>
        <v>-71905.41</v>
      </c>
      <c r="E125" s="499"/>
      <c r="F125" s="499"/>
      <c r="G125" s="499">
        <f t="shared" si="23"/>
        <v>105131</v>
      </c>
      <c r="H125" s="499"/>
      <c r="I125" s="499">
        <f t="shared" si="25"/>
        <v>105130.795</v>
      </c>
      <c r="J125" s="499">
        <f t="shared" si="25"/>
        <v>0</v>
      </c>
      <c r="K125" s="499">
        <f t="shared" si="25"/>
        <v>0</v>
      </c>
      <c r="L125" s="499"/>
      <c r="M125" s="506">
        <v>282167</v>
      </c>
      <c r="N125" s="506">
        <v>0</v>
      </c>
      <c r="O125" s="506">
        <v>0</v>
      </c>
      <c r="P125" s="499"/>
      <c r="Q125" s="506">
        <v>-71905.41</v>
      </c>
      <c r="R125" s="506">
        <v>0</v>
      </c>
      <c r="S125" s="506">
        <v>0</v>
      </c>
    </row>
    <row r="126" spans="1:19">
      <c r="A126" s="502">
        <f t="shared" si="20"/>
        <v>108</v>
      </c>
      <c r="B126" s="182" t="s">
        <v>968</v>
      </c>
      <c r="C126" s="499">
        <f t="shared" si="24"/>
        <v>-53839.42</v>
      </c>
      <c r="D126" s="499">
        <f t="shared" si="22"/>
        <v>-110593.23</v>
      </c>
      <c r="E126" s="499"/>
      <c r="F126" s="499"/>
      <c r="G126" s="499">
        <f t="shared" si="23"/>
        <v>-82216</v>
      </c>
      <c r="H126" s="499"/>
      <c r="I126" s="499">
        <f t="shared" si="25"/>
        <v>-82216.324999999997</v>
      </c>
      <c r="J126" s="499">
        <f t="shared" si="25"/>
        <v>0</v>
      </c>
      <c r="K126" s="499">
        <f t="shared" si="25"/>
        <v>0</v>
      </c>
      <c r="L126" s="499"/>
      <c r="M126" s="506">
        <v>-53839.42</v>
      </c>
      <c r="N126" s="506">
        <v>0</v>
      </c>
      <c r="O126" s="506">
        <v>0</v>
      </c>
      <c r="P126" s="499"/>
      <c r="Q126" s="506">
        <v>-110593.23</v>
      </c>
      <c r="R126" s="506">
        <v>0</v>
      </c>
      <c r="S126" s="506">
        <v>0</v>
      </c>
    </row>
    <row r="127" spans="1:19">
      <c r="A127" s="502">
        <f t="shared" si="20"/>
        <v>109</v>
      </c>
      <c r="B127" s="182" t="s">
        <v>969</v>
      </c>
      <c r="C127" s="499">
        <f t="shared" si="24"/>
        <v>0</v>
      </c>
      <c r="D127" s="499">
        <f t="shared" si="22"/>
        <v>0</v>
      </c>
      <c r="E127" s="499"/>
      <c r="F127" s="499"/>
      <c r="G127" s="499">
        <f t="shared" si="23"/>
        <v>0</v>
      </c>
      <c r="H127" s="499"/>
      <c r="I127" s="499">
        <f t="shared" si="25"/>
        <v>0</v>
      </c>
      <c r="J127" s="499">
        <f t="shared" si="25"/>
        <v>0</v>
      </c>
      <c r="K127" s="499">
        <f t="shared" si="25"/>
        <v>0</v>
      </c>
      <c r="L127" s="499"/>
      <c r="M127" s="506">
        <v>0</v>
      </c>
      <c r="N127" s="506">
        <v>0</v>
      </c>
      <c r="O127" s="506">
        <v>0</v>
      </c>
      <c r="P127" s="499"/>
      <c r="Q127" s="506">
        <v>0</v>
      </c>
      <c r="R127" s="506">
        <v>0</v>
      </c>
      <c r="S127" s="506">
        <v>0</v>
      </c>
    </row>
    <row r="128" spans="1:19">
      <c r="A128" s="502">
        <f t="shared" si="20"/>
        <v>110</v>
      </c>
      <c r="B128" s="182" t="s">
        <v>970</v>
      </c>
      <c r="C128" s="499">
        <f t="shared" si="24"/>
        <v>0</v>
      </c>
      <c r="D128" s="499">
        <f t="shared" si="22"/>
        <v>0</v>
      </c>
      <c r="E128" s="499"/>
      <c r="F128" s="499"/>
      <c r="G128" s="499">
        <f t="shared" si="23"/>
        <v>0</v>
      </c>
      <c r="H128" s="499"/>
      <c r="I128" s="499">
        <f t="shared" si="25"/>
        <v>0</v>
      </c>
      <c r="J128" s="499">
        <f t="shared" si="25"/>
        <v>0</v>
      </c>
      <c r="K128" s="499">
        <f t="shared" si="25"/>
        <v>0</v>
      </c>
      <c r="L128" s="499"/>
      <c r="M128" s="506">
        <v>0</v>
      </c>
      <c r="N128" s="506">
        <v>0</v>
      </c>
      <c r="O128" s="506">
        <v>0</v>
      </c>
      <c r="P128" s="499"/>
      <c r="Q128" s="506">
        <v>0</v>
      </c>
      <c r="R128" s="506">
        <v>0</v>
      </c>
      <c r="S128" s="506">
        <v>0</v>
      </c>
    </row>
    <row r="129" spans="1:19">
      <c r="A129" s="502">
        <f t="shared" si="20"/>
        <v>111</v>
      </c>
      <c r="B129" s="182" t="s">
        <v>32</v>
      </c>
      <c r="C129" s="499">
        <f t="shared" si="24"/>
        <v>0</v>
      </c>
      <c r="D129" s="499">
        <f t="shared" si="22"/>
        <v>0</v>
      </c>
      <c r="E129" s="499"/>
      <c r="F129" s="499"/>
      <c r="G129" s="499">
        <f t="shared" si="23"/>
        <v>0</v>
      </c>
      <c r="H129" s="499"/>
      <c r="I129" s="499">
        <f t="shared" si="25"/>
        <v>0</v>
      </c>
      <c r="J129" s="499">
        <f t="shared" si="25"/>
        <v>0</v>
      </c>
      <c r="K129" s="499">
        <f t="shared" si="25"/>
        <v>0</v>
      </c>
      <c r="L129" s="499"/>
      <c r="M129" s="506">
        <v>0</v>
      </c>
      <c r="N129" s="506">
        <v>0</v>
      </c>
      <c r="O129" s="506">
        <v>0</v>
      </c>
      <c r="P129" s="499"/>
      <c r="Q129" s="506">
        <v>0</v>
      </c>
      <c r="R129" s="506">
        <v>0</v>
      </c>
      <c r="S129" s="506">
        <v>0</v>
      </c>
    </row>
    <row r="130" spans="1:19">
      <c r="A130" s="502">
        <f t="shared" si="20"/>
        <v>112</v>
      </c>
      <c r="B130" s="182" t="s">
        <v>33</v>
      </c>
      <c r="C130" s="499">
        <f t="shared" si="24"/>
        <v>0</v>
      </c>
      <c r="D130" s="499">
        <f t="shared" si="22"/>
        <v>0</v>
      </c>
      <c r="E130" s="499"/>
      <c r="F130" s="499"/>
      <c r="G130" s="499">
        <f t="shared" si="23"/>
        <v>0</v>
      </c>
      <c r="H130" s="499"/>
      <c r="I130" s="499">
        <f t="shared" si="25"/>
        <v>0</v>
      </c>
      <c r="J130" s="499">
        <f t="shared" si="25"/>
        <v>0</v>
      </c>
      <c r="K130" s="499">
        <f t="shared" si="25"/>
        <v>0</v>
      </c>
      <c r="L130" s="499"/>
      <c r="M130" s="506">
        <v>0</v>
      </c>
      <c r="N130" s="506">
        <v>0</v>
      </c>
      <c r="O130" s="506">
        <v>0</v>
      </c>
      <c r="P130" s="499"/>
      <c r="Q130" s="506">
        <v>0</v>
      </c>
      <c r="R130" s="506">
        <v>0</v>
      </c>
      <c r="S130" s="506">
        <v>0</v>
      </c>
    </row>
    <row r="131" spans="1:19">
      <c r="A131" s="502">
        <f t="shared" si="20"/>
        <v>113</v>
      </c>
      <c r="B131" s="182" t="s">
        <v>34</v>
      </c>
      <c r="C131" s="499">
        <f t="shared" si="24"/>
        <v>0</v>
      </c>
      <c r="D131" s="499">
        <f t="shared" si="22"/>
        <v>0</v>
      </c>
      <c r="E131" s="499"/>
      <c r="F131" s="499"/>
      <c r="G131" s="499">
        <f t="shared" si="23"/>
        <v>0</v>
      </c>
      <c r="H131" s="499"/>
      <c r="I131" s="499">
        <f t="shared" si="25"/>
        <v>0</v>
      </c>
      <c r="J131" s="499">
        <f t="shared" si="25"/>
        <v>0</v>
      </c>
      <c r="K131" s="499">
        <f t="shared" si="25"/>
        <v>0</v>
      </c>
      <c r="L131" s="499"/>
      <c r="M131" s="506">
        <v>0</v>
      </c>
      <c r="N131" s="506">
        <v>0</v>
      </c>
      <c r="O131" s="506">
        <v>0</v>
      </c>
      <c r="P131" s="499"/>
      <c r="Q131" s="506">
        <v>0</v>
      </c>
      <c r="R131" s="506">
        <v>0</v>
      </c>
      <c r="S131" s="506">
        <v>0</v>
      </c>
    </row>
    <row r="132" spans="1:19">
      <c r="A132" s="502">
        <f t="shared" si="20"/>
        <v>114</v>
      </c>
      <c r="B132" s="182" t="s">
        <v>1026</v>
      </c>
      <c r="C132" s="499">
        <f t="shared" si="24"/>
        <v>10694910.449999999</v>
      </c>
      <c r="D132" s="499">
        <f t="shared" si="22"/>
        <v>10353056.439999999</v>
      </c>
      <c r="E132" s="499"/>
      <c r="F132" s="499"/>
      <c r="G132" s="499">
        <f t="shared" si="23"/>
        <v>10523983</v>
      </c>
      <c r="H132" s="499"/>
      <c r="I132" s="499">
        <f t="shared" si="25"/>
        <v>0</v>
      </c>
      <c r="J132" s="499">
        <f t="shared" si="25"/>
        <v>0</v>
      </c>
      <c r="K132" s="499">
        <f t="shared" si="25"/>
        <v>10523983.445</v>
      </c>
      <c r="L132" s="499"/>
      <c r="M132" s="506">
        <v>0</v>
      </c>
      <c r="N132" s="506">
        <v>0</v>
      </c>
      <c r="O132" s="506">
        <v>10694910.449999999</v>
      </c>
      <c r="P132" s="499"/>
      <c r="Q132" s="506">
        <v>0</v>
      </c>
      <c r="R132" s="506">
        <v>0</v>
      </c>
      <c r="S132" s="506">
        <v>10353056.439999999</v>
      </c>
    </row>
    <row r="133" spans="1:19">
      <c r="A133" s="502">
        <f t="shared" si="20"/>
        <v>115</v>
      </c>
      <c r="B133" s="182" t="s">
        <v>1027</v>
      </c>
      <c r="C133" s="499">
        <f t="shared" si="24"/>
        <v>474631.81</v>
      </c>
      <c r="D133" s="499">
        <f t="shared" si="22"/>
        <v>889348.6</v>
      </c>
      <c r="E133" s="499"/>
      <c r="F133" s="499"/>
      <c r="G133" s="499">
        <f t="shared" si="23"/>
        <v>681990</v>
      </c>
      <c r="H133" s="499"/>
      <c r="I133" s="499">
        <f t="shared" si="25"/>
        <v>0</v>
      </c>
      <c r="J133" s="499">
        <f t="shared" si="25"/>
        <v>0</v>
      </c>
      <c r="K133" s="499">
        <f t="shared" si="25"/>
        <v>681990.20499999996</v>
      </c>
      <c r="L133" s="499"/>
      <c r="M133" s="506">
        <v>0</v>
      </c>
      <c r="N133" s="506">
        <v>0</v>
      </c>
      <c r="O133" s="506">
        <v>474631.81</v>
      </c>
      <c r="P133" s="499"/>
      <c r="Q133" s="506">
        <v>0</v>
      </c>
      <c r="R133" s="506">
        <v>0</v>
      </c>
      <c r="S133" s="506">
        <v>889348.6</v>
      </c>
    </row>
    <row r="134" spans="1:19">
      <c r="A134" s="502">
        <f t="shared" si="20"/>
        <v>116</v>
      </c>
      <c r="B134" s="416" t="s">
        <v>971</v>
      </c>
      <c r="C134" s="499">
        <f t="shared" si="24"/>
        <v>0</v>
      </c>
      <c r="D134" s="499">
        <f t="shared" si="22"/>
        <v>0</v>
      </c>
      <c r="E134" s="499"/>
      <c r="F134" s="499"/>
      <c r="G134" s="499">
        <f>ROUND(SUM(C134:F134)/2,0)</f>
        <v>0</v>
      </c>
      <c r="H134" s="499"/>
      <c r="I134" s="499">
        <f t="shared" si="25"/>
        <v>0</v>
      </c>
      <c r="J134" s="499">
        <f t="shared" si="25"/>
        <v>0</v>
      </c>
      <c r="K134" s="499">
        <f t="shared" si="25"/>
        <v>0</v>
      </c>
      <c r="L134" s="499"/>
      <c r="M134" s="506">
        <v>0</v>
      </c>
      <c r="N134" s="506">
        <v>0</v>
      </c>
      <c r="O134" s="506">
        <v>0</v>
      </c>
      <c r="P134" s="499"/>
      <c r="Q134" s="506">
        <v>0</v>
      </c>
      <c r="R134" s="506">
        <v>0</v>
      </c>
      <c r="S134" s="506">
        <v>0</v>
      </c>
    </row>
    <row r="135" spans="1:19">
      <c r="A135" s="502">
        <f t="shared" si="20"/>
        <v>117</v>
      </c>
      <c r="B135" s="416" t="s">
        <v>972</v>
      </c>
      <c r="C135" s="499">
        <f t="shared" si="24"/>
        <v>0</v>
      </c>
      <c r="D135" s="499">
        <f t="shared" si="22"/>
        <v>0</v>
      </c>
      <c r="E135" s="499"/>
      <c r="F135" s="499"/>
      <c r="G135" s="499">
        <f>ROUND(SUM(C135:F135)/2,0)</f>
        <v>0</v>
      </c>
      <c r="H135" s="499"/>
      <c r="I135" s="499">
        <f t="shared" si="25"/>
        <v>0</v>
      </c>
      <c r="J135" s="499">
        <f t="shared" si="25"/>
        <v>0</v>
      </c>
      <c r="K135" s="499">
        <f t="shared" si="25"/>
        <v>0</v>
      </c>
      <c r="L135" s="499"/>
      <c r="M135" s="506">
        <v>0</v>
      </c>
      <c r="N135" s="506">
        <v>0</v>
      </c>
      <c r="O135" s="506">
        <v>0</v>
      </c>
      <c r="P135" s="499"/>
      <c r="Q135" s="506">
        <v>0</v>
      </c>
      <c r="R135" s="506">
        <v>0</v>
      </c>
      <c r="S135" s="506">
        <v>0</v>
      </c>
    </row>
    <row r="136" spans="1:19">
      <c r="A136" s="502">
        <f t="shared" si="20"/>
        <v>118</v>
      </c>
      <c r="B136" s="416" t="s">
        <v>973</v>
      </c>
      <c r="C136" s="499">
        <f t="shared" si="24"/>
        <v>0</v>
      </c>
      <c r="D136" s="499">
        <f t="shared" si="22"/>
        <v>0</v>
      </c>
      <c r="E136" s="499"/>
      <c r="F136" s="499"/>
      <c r="G136" s="499">
        <f>ROUND(SUM(C136:F136)/2,0)</f>
        <v>0</v>
      </c>
      <c r="H136" s="499"/>
      <c r="I136" s="499">
        <f t="shared" si="25"/>
        <v>0</v>
      </c>
      <c r="J136" s="499">
        <f t="shared" si="25"/>
        <v>0</v>
      </c>
      <c r="K136" s="499">
        <f t="shared" si="25"/>
        <v>0</v>
      </c>
      <c r="L136" s="499"/>
      <c r="M136" s="506">
        <v>0</v>
      </c>
      <c r="N136" s="506">
        <v>0</v>
      </c>
      <c r="O136" s="506">
        <v>0</v>
      </c>
      <c r="P136" s="499"/>
      <c r="Q136" s="506">
        <v>0</v>
      </c>
      <c r="R136" s="506">
        <v>0</v>
      </c>
      <c r="S136" s="506">
        <v>0</v>
      </c>
    </row>
    <row r="137" spans="1:19">
      <c r="A137" s="502">
        <f t="shared" si="20"/>
        <v>119</v>
      </c>
      <c r="B137" s="416" t="s">
        <v>1028</v>
      </c>
      <c r="C137" s="499">
        <f t="shared" si="24"/>
        <v>-327303.55</v>
      </c>
      <c r="D137" s="499">
        <f t="shared" si="22"/>
        <v>0</v>
      </c>
      <c r="E137" s="499"/>
      <c r="F137" s="499"/>
      <c r="G137" s="499">
        <f t="shared" ref="G137:G177" si="26">ROUND(SUM(C137:F137)/2,0)</f>
        <v>-163652</v>
      </c>
      <c r="H137" s="499"/>
      <c r="I137" s="499">
        <f t="shared" si="25"/>
        <v>-163651.77499999999</v>
      </c>
      <c r="J137" s="499">
        <f t="shared" si="25"/>
        <v>0</v>
      </c>
      <c r="K137" s="499">
        <f t="shared" si="25"/>
        <v>0</v>
      </c>
      <c r="L137" s="499"/>
      <c r="M137" s="506">
        <v>-327303.55</v>
      </c>
      <c r="N137" s="506">
        <v>0</v>
      </c>
      <c r="O137" s="506">
        <v>0</v>
      </c>
      <c r="P137" s="499"/>
      <c r="Q137" s="506">
        <v>0</v>
      </c>
      <c r="R137" s="506">
        <v>0</v>
      </c>
      <c r="S137" s="506">
        <v>0</v>
      </c>
    </row>
    <row r="138" spans="1:19">
      <c r="A138" s="502">
        <f t="shared" si="20"/>
        <v>120</v>
      </c>
      <c r="B138" s="416" t="s">
        <v>1029</v>
      </c>
      <c r="C138" s="499">
        <f t="shared" si="24"/>
        <v>1009881.6</v>
      </c>
      <c r="D138" s="499">
        <f t="shared" si="22"/>
        <v>0</v>
      </c>
      <c r="E138" s="499"/>
      <c r="F138" s="499"/>
      <c r="G138" s="499">
        <f t="shared" si="26"/>
        <v>504941</v>
      </c>
      <c r="H138" s="499"/>
      <c r="I138" s="499">
        <f t="shared" si="25"/>
        <v>504940.79999999999</v>
      </c>
      <c r="J138" s="499">
        <f t="shared" si="25"/>
        <v>0</v>
      </c>
      <c r="K138" s="499">
        <f t="shared" si="25"/>
        <v>0</v>
      </c>
      <c r="L138" s="499"/>
      <c r="M138" s="506">
        <v>1009881.6</v>
      </c>
      <c r="N138" s="506">
        <v>0</v>
      </c>
      <c r="O138" s="506">
        <v>0</v>
      </c>
      <c r="P138" s="499"/>
      <c r="Q138" s="506">
        <v>0</v>
      </c>
      <c r="R138" s="506">
        <v>0</v>
      </c>
      <c r="S138" s="506">
        <v>0</v>
      </c>
    </row>
    <row r="139" spans="1:19">
      <c r="A139" s="502">
        <f t="shared" si="20"/>
        <v>121</v>
      </c>
      <c r="B139" s="416" t="s">
        <v>1030</v>
      </c>
      <c r="C139" s="499">
        <f t="shared" si="24"/>
        <v>3350678.86</v>
      </c>
      <c r="D139" s="499">
        <f t="shared" si="22"/>
        <v>2592034.58</v>
      </c>
      <c r="E139" s="499"/>
      <c r="F139" s="499"/>
      <c r="G139" s="499">
        <f t="shared" si="26"/>
        <v>2971357</v>
      </c>
      <c r="H139" s="499"/>
      <c r="I139" s="499">
        <f t="shared" si="25"/>
        <v>2971356.7199999997</v>
      </c>
      <c r="J139" s="499">
        <f t="shared" si="25"/>
        <v>0</v>
      </c>
      <c r="K139" s="499">
        <f t="shared" si="25"/>
        <v>0</v>
      </c>
      <c r="L139" s="499"/>
      <c r="M139" s="506">
        <v>3350678.86</v>
      </c>
      <c r="N139" s="506">
        <v>0</v>
      </c>
      <c r="O139" s="506">
        <v>0</v>
      </c>
      <c r="P139" s="499"/>
      <c r="Q139" s="506">
        <v>2592034.58</v>
      </c>
      <c r="R139" s="506">
        <v>0</v>
      </c>
      <c r="S139" s="506">
        <v>0</v>
      </c>
    </row>
    <row r="140" spans="1:19">
      <c r="A140" s="502">
        <f t="shared" si="20"/>
        <v>122</v>
      </c>
      <c r="B140" s="416" t="s">
        <v>1116</v>
      </c>
      <c r="C140" s="499">
        <f t="shared" si="24"/>
        <v>407896.16</v>
      </c>
      <c r="D140" s="499">
        <f t="shared" si="22"/>
        <v>795336.93</v>
      </c>
      <c r="E140" s="499"/>
      <c r="F140" s="499"/>
      <c r="G140" s="499">
        <f t="shared" si="26"/>
        <v>601617</v>
      </c>
      <c r="H140" s="499"/>
      <c r="I140" s="499">
        <f t="shared" ref="I140:K160" si="27">(M140+Q140)/2</f>
        <v>601616.54500000004</v>
      </c>
      <c r="J140" s="499">
        <f t="shared" si="27"/>
        <v>0</v>
      </c>
      <c r="K140" s="499">
        <f t="shared" si="27"/>
        <v>0</v>
      </c>
      <c r="L140" s="499"/>
      <c r="M140" s="506">
        <v>407896.16</v>
      </c>
      <c r="N140" s="506">
        <v>0</v>
      </c>
      <c r="O140" s="506">
        <v>0</v>
      </c>
      <c r="P140" s="499"/>
      <c r="Q140" s="506">
        <v>795336.93</v>
      </c>
      <c r="R140" s="506">
        <v>0</v>
      </c>
      <c r="S140" s="506">
        <v>0</v>
      </c>
    </row>
    <row r="141" spans="1:19">
      <c r="A141" s="502">
        <f t="shared" si="20"/>
        <v>123</v>
      </c>
      <c r="B141" s="416" t="s">
        <v>1117</v>
      </c>
      <c r="C141" s="499">
        <f t="shared" si="24"/>
        <v>215984.64000000001</v>
      </c>
      <c r="D141" s="499">
        <f t="shared" si="22"/>
        <v>215984.64000000001</v>
      </c>
      <c r="E141" s="499"/>
      <c r="F141" s="499"/>
      <c r="G141" s="499">
        <f t="shared" si="26"/>
        <v>215985</v>
      </c>
      <c r="H141" s="499"/>
      <c r="I141" s="499">
        <f t="shared" si="27"/>
        <v>215984.64000000001</v>
      </c>
      <c r="J141" s="499">
        <f t="shared" si="27"/>
        <v>0</v>
      </c>
      <c r="K141" s="499">
        <f t="shared" si="27"/>
        <v>0</v>
      </c>
      <c r="L141" s="499"/>
      <c r="M141" s="506">
        <v>215984.64000000001</v>
      </c>
      <c r="N141" s="506">
        <v>0</v>
      </c>
      <c r="O141" s="506">
        <v>0</v>
      </c>
      <c r="P141" s="499"/>
      <c r="Q141" s="506">
        <v>215984.64000000001</v>
      </c>
      <c r="R141" s="506">
        <v>0</v>
      </c>
      <c r="S141" s="506">
        <v>0</v>
      </c>
    </row>
    <row r="142" spans="1:19">
      <c r="A142" s="502">
        <f t="shared" ref="A142:A204" si="28">A141+1</f>
        <v>124</v>
      </c>
      <c r="B142" s="580" t="s">
        <v>1118</v>
      </c>
      <c r="C142" s="508">
        <f t="shared" si="24"/>
        <v>11440930.539999999</v>
      </c>
      <c r="D142" s="508">
        <f t="shared" si="22"/>
        <v>10361394.35</v>
      </c>
      <c r="E142" s="508"/>
      <c r="F142" s="508"/>
      <c r="G142" s="508">
        <f t="shared" si="26"/>
        <v>10901162</v>
      </c>
      <c r="H142" s="508"/>
      <c r="I142" s="508">
        <f t="shared" si="27"/>
        <v>10901162.445</v>
      </c>
      <c r="J142" s="508">
        <f t="shared" si="27"/>
        <v>0</v>
      </c>
      <c r="K142" s="508">
        <f t="shared" si="27"/>
        <v>0</v>
      </c>
      <c r="L142" s="508"/>
      <c r="M142" s="508">
        <v>11440930.539999999</v>
      </c>
      <c r="N142" s="508">
        <v>0</v>
      </c>
      <c r="O142" s="508">
        <v>0</v>
      </c>
      <c r="P142" s="508"/>
      <c r="Q142" s="508">
        <v>10361394.35</v>
      </c>
      <c r="R142" s="508">
        <v>0</v>
      </c>
      <c r="S142" s="508">
        <v>0</v>
      </c>
    </row>
    <row r="143" spans="1:19">
      <c r="A143" s="502">
        <f t="shared" si="28"/>
        <v>125</v>
      </c>
      <c r="B143" s="416" t="s">
        <v>1119</v>
      </c>
      <c r="C143" s="499">
        <f t="shared" si="24"/>
        <v>16678000.300000001</v>
      </c>
      <c r="D143" s="499">
        <f t="shared" ref="D143:D171" si="29">SUM(Q143:S143)</f>
        <v>16684790.52</v>
      </c>
      <c r="E143" s="499"/>
      <c r="F143" s="499"/>
      <c r="G143" s="499">
        <f t="shared" si="26"/>
        <v>16681395</v>
      </c>
      <c r="H143" s="499"/>
      <c r="I143" s="499">
        <f t="shared" si="27"/>
        <v>16681395.41</v>
      </c>
      <c r="J143" s="499">
        <f t="shared" si="27"/>
        <v>0</v>
      </c>
      <c r="K143" s="499">
        <f t="shared" si="27"/>
        <v>0</v>
      </c>
      <c r="L143" s="499"/>
      <c r="M143" s="506">
        <v>16678000.300000001</v>
      </c>
      <c r="N143" s="506">
        <v>0</v>
      </c>
      <c r="O143" s="506">
        <v>0</v>
      </c>
      <c r="P143" s="499"/>
      <c r="Q143" s="506">
        <v>16684790.52</v>
      </c>
      <c r="R143" s="506">
        <v>0</v>
      </c>
      <c r="S143" s="506">
        <v>0</v>
      </c>
    </row>
    <row r="144" spans="1:19">
      <c r="A144" s="502">
        <f t="shared" si="28"/>
        <v>126</v>
      </c>
      <c r="B144" s="416" t="s">
        <v>1120</v>
      </c>
      <c r="C144" s="499">
        <f t="shared" ref="C144:C171" si="30">SUM(M144:O144)</f>
        <v>9557</v>
      </c>
      <c r="D144" s="499">
        <f t="shared" si="29"/>
        <v>-0.45</v>
      </c>
      <c r="E144" s="499"/>
      <c r="F144" s="499"/>
      <c r="G144" s="499">
        <f t="shared" si="26"/>
        <v>4778</v>
      </c>
      <c r="H144" s="499"/>
      <c r="I144" s="499">
        <f t="shared" si="27"/>
        <v>4778.2749999999996</v>
      </c>
      <c r="J144" s="499">
        <f t="shared" si="27"/>
        <v>0</v>
      </c>
      <c r="K144" s="499">
        <f t="shared" si="27"/>
        <v>0</v>
      </c>
      <c r="L144" s="499"/>
      <c r="M144" s="506">
        <v>9557</v>
      </c>
      <c r="N144" s="506">
        <v>0</v>
      </c>
      <c r="O144" s="506">
        <v>0</v>
      </c>
      <c r="P144" s="499"/>
      <c r="Q144" s="506">
        <v>-0.45</v>
      </c>
      <c r="R144" s="506">
        <v>0</v>
      </c>
      <c r="S144" s="506">
        <v>0</v>
      </c>
    </row>
    <row r="145" spans="1:19">
      <c r="A145" s="502">
        <f t="shared" si="28"/>
        <v>127</v>
      </c>
      <c r="B145" s="416" t="s">
        <v>1121</v>
      </c>
      <c r="C145" s="499">
        <f t="shared" si="30"/>
        <v>3147405.74</v>
      </c>
      <c r="D145" s="499">
        <f t="shared" si="29"/>
        <v>3049443.08</v>
      </c>
      <c r="E145" s="499"/>
      <c r="F145" s="499"/>
      <c r="G145" s="499">
        <f t="shared" si="26"/>
        <v>3098424</v>
      </c>
      <c r="H145" s="499"/>
      <c r="I145" s="499">
        <f t="shared" si="27"/>
        <v>3098424.41</v>
      </c>
      <c r="J145" s="499">
        <f t="shared" si="27"/>
        <v>0</v>
      </c>
      <c r="K145" s="499">
        <f t="shared" si="27"/>
        <v>0</v>
      </c>
      <c r="L145" s="499"/>
      <c r="M145" s="506">
        <v>3147405.74</v>
      </c>
      <c r="N145" s="506">
        <v>0</v>
      </c>
      <c r="O145" s="506">
        <v>0</v>
      </c>
      <c r="P145" s="499"/>
      <c r="Q145" s="506">
        <v>3049443.08</v>
      </c>
      <c r="R145" s="506">
        <v>0</v>
      </c>
      <c r="S145" s="506">
        <v>0</v>
      </c>
    </row>
    <row r="146" spans="1:19">
      <c r="A146" s="502">
        <f t="shared" si="28"/>
        <v>128</v>
      </c>
      <c r="B146" s="416" t="s">
        <v>1122</v>
      </c>
      <c r="C146" s="499">
        <f t="shared" si="30"/>
        <v>8960200.7300000004</v>
      </c>
      <c r="D146" s="499">
        <f t="shared" si="29"/>
        <v>8623830.6400000006</v>
      </c>
      <c r="E146" s="499"/>
      <c r="F146" s="499"/>
      <c r="G146" s="499">
        <f t="shared" si="26"/>
        <v>8792016</v>
      </c>
      <c r="H146" s="499"/>
      <c r="I146" s="499">
        <f t="shared" si="27"/>
        <v>8792015.6850000005</v>
      </c>
      <c r="J146" s="499">
        <f t="shared" si="27"/>
        <v>0</v>
      </c>
      <c r="K146" s="499">
        <f t="shared" si="27"/>
        <v>0</v>
      </c>
      <c r="L146" s="499"/>
      <c r="M146" s="506">
        <v>8960200.7300000004</v>
      </c>
      <c r="N146" s="506">
        <v>0</v>
      </c>
      <c r="O146" s="506">
        <v>0</v>
      </c>
      <c r="P146" s="499"/>
      <c r="Q146" s="506">
        <v>8623830.6400000006</v>
      </c>
      <c r="R146" s="506">
        <v>0</v>
      </c>
      <c r="S146" s="506">
        <v>0</v>
      </c>
    </row>
    <row r="147" spans="1:19">
      <c r="A147" s="502">
        <f t="shared" si="28"/>
        <v>129</v>
      </c>
      <c r="B147" s="416" t="s">
        <v>1123</v>
      </c>
      <c r="C147" s="499">
        <f t="shared" si="30"/>
        <v>1529235.48</v>
      </c>
      <c r="D147" s="499">
        <f t="shared" si="29"/>
        <v>1533356.34</v>
      </c>
      <c r="E147" s="499"/>
      <c r="F147" s="499"/>
      <c r="G147" s="499">
        <f t="shared" si="26"/>
        <v>1531296</v>
      </c>
      <c r="H147" s="499"/>
      <c r="I147" s="499">
        <f t="shared" si="27"/>
        <v>1531295.9100000001</v>
      </c>
      <c r="J147" s="499">
        <f t="shared" si="27"/>
        <v>0</v>
      </c>
      <c r="K147" s="499">
        <f t="shared" si="27"/>
        <v>0</v>
      </c>
      <c r="L147" s="499"/>
      <c r="M147" s="506">
        <v>1529235.48</v>
      </c>
      <c r="N147" s="506">
        <v>0</v>
      </c>
      <c r="O147" s="506">
        <v>0</v>
      </c>
      <c r="P147" s="499"/>
      <c r="Q147" s="506">
        <v>1533356.34</v>
      </c>
      <c r="R147" s="506">
        <v>0</v>
      </c>
      <c r="S147" s="506">
        <v>0</v>
      </c>
    </row>
    <row r="148" spans="1:19">
      <c r="A148" s="502">
        <f t="shared" si="28"/>
        <v>130</v>
      </c>
      <c r="B148" s="416" t="s">
        <v>1216</v>
      </c>
      <c r="C148" s="499">
        <f t="shared" ref="C148" si="31">SUM(M148:O148)</f>
        <v>0</v>
      </c>
      <c r="D148" s="499">
        <f t="shared" si="29"/>
        <v>459835.6</v>
      </c>
      <c r="E148" s="499"/>
      <c r="F148" s="499"/>
      <c r="G148" s="499">
        <f t="shared" si="26"/>
        <v>229918</v>
      </c>
      <c r="H148" s="499"/>
      <c r="I148" s="499">
        <f t="shared" si="27"/>
        <v>229917.8</v>
      </c>
      <c r="J148" s="499">
        <f t="shared" si="27"/>
        <v>0</v>
      </c>
      <c r="K148" s="499">
        <f t="shared" si="27"/>
        <v>0</v>
      </c>
      <c r="L148" s="499"/>
      <c r="M148" s="506">
        <v>0</v>
      </c>
      <c r="N148" s="506">
        <v>0</v>
      </c>
      <c r="O148" s="506">
        <v>0</v>
      </c>
      <c r="P148" s="499"/>
      <c r="Q148" s="506">
        <v>459835.6</v>
      </c>
      <c r="R148" s="506">
        <v>0</v>
      </c>
      <c r="S148" s="506">
        <v>0</v>
      </c>
    </row>
    <row r="149" spans="1:19">
      <c r="A149" s="502">
        <f t="shared" si="28"/>
        <v>131</v>
      </c>
      <c r="B149" s="622" t="s">
        <v>1124</v>
      </c>
      <c r="C149" s="606">
        <f t="shared" si="30"/>
        <v>1221208.3400000001</v>
      </c>
      <c r="D149" s="606">
        <f t="shared" si="29"/>
        <v>944708.35</v>
      </c>
      <c r="E149" s="606"/>
      <c r="F149" s="606"/>
      <c r="G149" s="606">
        <f t="shared" si="26"/>
        <v>1082958</v>
      </c>
      <c r="H149" s="606"/>
      <c r="I149" s="606">
        <f t="shared" si="27"/>
        <v>0</v>
      </c>
      <c r="J149" s="606">
        <f t="shared" si="27"/>
        <v>0</v>
      </c>
      <c r="K149" s="606">
        <f t="shared" si="27"/>
        <v>1082958.345</v>
      </c>
      <c r="L149" s="606"/>
      <c r="M149" s="606">
        <v>0</v>
      </c>
      <c r="N149" s="606">
        <v>0</v>
      </c>
      <c r="O149" s="606">
        <v>1221208.3400000001</v>
      </c>
      <c r="P149" s="606"/>
      <c r="Q149" s="606">
        <v>0</v>
      </c>
      <c r="R149" s="606">
        <v>0</v>
      </c>
      <c r="S149" s="606">
        <v>944708.35</v>
      </c>
    </row>
    <row r="150" spans="1:19">
      <c r="A150" s="502">
        <f t="shared" si="28"/>
        <v>132</v>
      </c>
      <c r="B150" s="416" t="s">
        <v>1217</v>
      </c>
      <c r="C150" s="499">
        <f t="shared" ref="C150" si="32">SUM(M150:O150)</f>
        <v>0</v>
      </c>
      <c r="D150" s="499">
        <f t="shared" si="29"/>
        <v>102065.4</v>
      </c>
      <c r="E150" s="499"/>
      <c r="F150" s="499"/>
      <c r="G150" s="499">
        <f t="shared" si="26"/>
        <v>51033</v>
      </c>
      <c r="H150" s="499"/>
      <c r="I150" s="499">
        <f t="shared" si="27"/>
        <v>0</v>
      </c>
      <c r="J150" s="499">
        <f t="shared" si="27"/>
        <v>0</v>
      </c>
      <c r="K150" s="499">
        <f t="shared" si="27"/>
        <v>51032.7</v>
      </c>
      <c r="L150" s="499"/>
      <c r="M150" s="506">
        <v>0</v>
      </c>
      <c r="N150" s="506">
        <v>0</v>
      </c>
      <c r="O150" s="506">
        <v>0</v>
      </c>
      <c r="P150" s="499"/>
      <c r="Q150" s="506">
        <v>0</v>
      </c>
      <c r="R150" s="506">
        <v>0</v>
      </c>
      <c r="S150" s="506">
        <v>102065.4</v>
      </c>
    </row>
    <row r="151" spans="1:19">
      <c r="A151" s="502">
        <f t="shared" si="28"/>
        <v>133</v>
      </c>
      <c r="B151" s="416" t="s">
        <v>1218</v>
      </c>
      <c r="C151" s="499">
        <f t="shared" ref="C151:C153" si="33">SUM(M151:O151)</f>
        <v>0</v>
      </c>
      <c r="D151" s="499">
        <f t="shared" si="29"/>
        <v>298271.53999999998</v>
      </c>
      <c r="E151" s="499"/>
      <c r="F151" s="499"/>
      <c r="G151" s="499">
        <f t="shared" si="26"/>
        <v>149136</v>
      </c>
      <c r="H151" s="499"/>
      <c r="I151" s="499">
        <f t="shared" si="27"/>
        <v>0</v>
      </c>
      <c r="J151" s="499">
        <f t="shared" si="27"/>
        <v>0</v>
      </c>
      <c r="K151" s="499">
        <f t="shared" si="27"/>
        <v>149135.76999999999</v>
      </c>
      <c r="L151" s="499"/>
      <c r="M151" s="506">
        <v>0</v>
      </c>
      <c r="N151" s="506">
        <v>0</v>
      </c>
      <c r="O151" s="506">
        <v>0</v>
      </c>
      <c r="P151" s="499"/>
      <c r="Q151" s="506">
        <v>0</v>
      </c>
      <c r="R151" s="506">
        <v>0</v>
      </c>
      <c r="S151" s="506">
        <v>298271.53999999998</v>
      </c>
    </row>
    <row r="152" spans="1:19">
      <c r="A152" s="502">
        <f t="shared" si="28"/>
        <v>134</v>
      </c>
      <c r="B152" s="416" t="s">
        <v>1219</v>
      </c>
      <c r="C152" s="499">
        <f t="shared" si="33"/>
        <v>0</v>
      </c>
      <c r="D152" s="499">
        <f t="shared" si="29"/>
        <v>6181241.2800000003</v>
      </c>
      <c r="E152" s="499"/>
      <c r="F152" s="499"/>
      <c r="G152" s="499">
        <f t="shared" si="26"/>
        <v>3090621</v>
      </c>
      <c r="H152" s="499"/>
      <c r="I152" s="499">
        <f t="shared" si="27"/>
        <v>0</v>
      </c>
      <c r="J152" s="499">
        <f t="shared" si="27"/>
        <v>0</v>
      </c>
      <c r="K152" s="499">
        <f t="shared" si="27"/>
        <v>3090620.64</v>
      </c>
      <c r="L152" s="499"/>
      <c r="M152" s="506">
        <v>0</v>
      </c>
      <c r="N152" s="506">
        <v>0</v>
      </c>
      <c r="O152" s="506">
        <v>0</v>
      </c>
      <c r="P152" s="499"/>
      <c r="Q152" s="506">
        <v>0</v>
      </c>
      <c r="R152" s="506">
        <v>0</v>
      </c>
      <c r="S152" s="506">
        <v>6181241.2800000003</v>
      </c>
    </row>
    <row r="153" spans="1:19">
      <c r="A153" s="502">
        <f t="shared" si="28"/>
        <v>135</v>
      </c>
      <c r="B153" s="416" t="s">
        <v>1220</v>
      </c>
      <c r="C153" s="499">
        <f t="shared" si="33"/>
        <v>0</v>
      </c>
      <c r="D153" s="499">
        <f t="shared" si="29"/>
        <v>322802.28000000003</v>
      </c>
      <c r="E153" s="499"/>
      <c r="F153" s="499"/>
      <c r="G153" s="499">
        <f t="shared" si="26"/>
        <v>161401</v>
      </c>
      <c r="H153" s="499"/>
      <c r="I153" s="499">
        <f t="shared" si="27"/>
        <v>0</v>
      </c>
      <c r="J153" s="499">
        <f t="shared" si="27"/>
        <v>0</v>
      </c>
      <c r="K153" s="499">
        <f t="shared" si="27"/>
        <v>161401.14000000001</v>
      </c>
      <c r="L153" s="499"/>
      <c r="M153" s="506">
        <v>0</v>
      </c>
      <c r="N153" s="506">
        <v>0</v>
      </c>
      <c r="O153" s="506">
        <v>0</v>
      </c>
      <c r="P153" s="499"/>
      <c r="Q153" s="506">
        <v>0</v>
      </c>
      <c r="R153" s="506">
        <v>0</v>
      </c>
      <c r="S153" s="506">
        <v>322802.28000000003</v>
      </c>
    </row>
    <row r="154" spans="1:19">
      <c r="A154" s="502">
        <f t="shared" si="28"/>
        <v>136</v>
      </c>
      <c r="B154" s="416" t="s">
        <v>1125</v>
      </c>
      <c r="C154" s="499">
        <f t="shared" si="30"/>
        <v>-243789.53</v>
      </c>
      <c r="D154" s="499">
        <f t="shared" si="29"/>
        <v>-658506.31999999995</v>
      </c>
      <c r="E154" s="499"/>
      <c r="F154" s="499"/>
      <c r="G154" s="499">
        <f t="shared" si="26"/>
        <v>-451148</v>
      </c>
      <c r="H154" s="499"/>
      <c r="I154" s="499">
        <f t="shared" si="27"/>
        <v>0</v>
      </c>
      <c r="J154" s="499">
        <f t="shared" si="27"/>
        <v>0</v>
      </c>
      <c r="K154" s="499">
        <f t="shared" si="27"/>
        <v>-451147.92499999999</v>
      </c>
      <c r="L154" s="499"/>
      <c r="M154" s="506">
        <v>0</v>
      </c>
      <c r="N154" s="506">
        <v>0</v>
      </c>
      <c r="O154" s="506">
        <v>-243789.53</v>
      </c>
      <c r="P154" s="499"/>
      <c r="Q154" s="506">
        <v>0</v>
      </c>
      <c r="R154" s="506">
        <v>0</v>
      </c>
      <c r="S154" s="506">
        <v>-658506.31999999995</v>
      </c>
    </row>
    <row r="155" spans="1:19">
      <c r="A155" s="502">
        <f t="shared" si="28"/>
        <v>137</v>
      </c>
      <c r="B155" s="416" t="s">
        <v>1126</v>
      </c>
      <c r="C155" s="499">
        <f t="shared" si="30"/>
        <v>1400.79</v>
      </c>
      <c r="D155" s="499">
        <f t="shared" si="29"/>
        <v>0</v>
      </c>
      <c r="E155" s="499"/>
      <c r="F155" s="499"/>
      <c r="G155" s="499">
        <f t="shared" si="26"/>
        <v>700</v>
      </c>
      <c r="H155" s="499"/>
      <c r="I155" s="499">
        <f t="shared" si="27"/>
        <v>0</v>
      </c>
      <c r="J155" s="499">
        <f t="shared" si="27"/>
        <v>0</v>
      </c>
      <c r="K155" s="499">
        <f t="shared" si="27"/>
        <v>700.39499999999998</v>
      </c>
      <c r="L155" s="499"/>
      <c r="M155" s="506">
        <v>0</v>
      </c>
      <c r="N155" s="506">
        <v>0</v>
      </c>
      <c r="O155" s="506">
        <v>1400.79</v>
      </c>
      <c r="P155" s="499"/>
      <c r="Q155" s="506">
        <v>0</v>
      </c>
      <c r="R155" s="506">
        <v>0</v>
      </c>
      <c r="S155" s="506">
        <v>0</v>
      </c>
    </row>
    <row r="156" spans="1:19">
      <c r="A156" s="502">
        <f t="shared" si="28"/>
        <v>138</v>
      </c>
      <c r="B156" s="416" t="s">
        <v>1127</v>
      </c>
      <c r="C156" s="499">
        <f t="shared" si="30"/>
        <v>13705.27</v>
      </c>
      <c r="D156" s="499">
        <f t="shared" si="29"/>
        <v>0</v>
      </c>
      <c r="E156" s="499"/>
      <c r="F156" s="499"/>
      <c r="G156" s="499">
        <f t="shared" si="26"/>
        <v>6853</v>
      </c>
      <c r="H156" s="499"/>
      <c r="I156" s="499">
        <f t="shared" si="27"/>
        <v>0</v>
      </c>
      <c r="J156" s="499">
        <f t="shared" si="27"/>
        <v>0</v>
      </c>
      <c r="K156" s="499">
        <f t="shared" si="27"/>
        <v>6852.6350000000002</v>
      </c>
      <c r="L156" s="499"/>
      <c r="M156" s="506">
        <v>0</v>
      </c>
      <c r="N156" s="506">
        <v>0</v>
      </c>
      <c r="O156" s="506">
        <v>13705.27</v>
      </c>
      <c r="P156" s="499"/>
      <c r="Q156" s="506">
        <v>0</v>
      </c>
      <c r="R156" s="506">
        <v>0</v>
      </c>
      <c r="S156" s="506">
        <v>0</v>
      </c>
    </row>
    <row r="157" spans="1:19">
      <c r="A157" s="502">
        <f t="shared" si="28"/>
        <v>139</v>
      </c>
      <c r="B157" s="416" t="s">
        <v>1128</v>
      </c>
      <c r="C157" s="499">
        <f t="shared" si="30"/>
        <v>638.54999999999995</v>
      </c>
      <c r="D157" s="499">
        <f t="shared" si="29"/>
        <v>0</v>
      </c>
      <c r="E157" s="499"/>
      <c r="F157" s="499"/>
      <c r="G157" s="499">
        <f t="shared" si="26"/>
        <v>319</v>
      </c>
      <c r="H157" s="499"/>
      <c r="I157" s="499">
        <f t="shared" si="27"/>
        <v>0</v>
      </c>
      <c r="J157" s="499">
        <f t="shared" si="27"/>
        <v>0</v>
      </c>
      <c r="K157" s="499">
        <f t="shared" si="27"/>
        <v>319.27499999999998</v>
      </c>
      <c r="L157" s="499"/>
      <c r="M157" s="506">
        <v>0</v>
      </c>
      <c r="N157" s="506">
        <v>0</v>
      </c>
      <c r="O157" s="506">
        <v>638.54999999999995</v>
      </c>
      <c r="P157" s="499"/>
      <c r="Q157" s="506">
        <v>0</v>
      </c>
      <c r="R157" s="506">
        <v>0</v>
      </c>
      <c r="S157" s="506">
        <v>0</v>
      </c>
    </row>
    <row r="158" spans="1:19">
      <c r="A158" s="502">
        <f t="shared" si="28"/>
        <v>140</v>
      </c>
      <c r="B158" s="416" t="s">
        <v>1129</v>
      </c>
      <c r="C158" s="499">
        <f t="shared" si="30"/>
        <v>7110.18</v>
      </c>
      <c r="D158" s="499">
        <f t="shared" si="29"/>
        <v>109807.18</v>
      </c>
      <c r="E158" s="499"/>
      <c r="F158" s="499"/>
      <c r="G158" s="499">
        <f t="shared" si="26"/>
        <v>58459</v>
      </c>
      <c r="H158" s="499"/>
      <c r="I158" s="499">
        <f t="shared" si="27"/>
        <v>0</v>
      </c>
      <c r="J158" s="499">
        <f t="shared" si="27"/>
        <v>0</v>
      </c>
      <c r="K158" s="499">
        <f t="shared" si="27"/>
        <v>58458.679999999993</v>
      </c>
      <c r="L158" s="499"/>
      <c r="M158" s="506">
        <v>0</v>
      </c>
      <c r="N158" s="506">
        <v>0</v>
      </c>
      <c r="O158" s="506">
        <v>7110.18</v>
      </c>
      <c r="P158" s="499"/>
      <c r="Q158" s="506">
        <v>0</v>
      </c>
      <c r="R158" s="506">
        <v>0</v>
      </c>
      <c r="S158" s="506">
        <v>109807.18</v>
      </c>
    </row>
    <row r="159" spans="1:19">
      <c r="A159" s="502">
        <f t="shared" si="28"/>
        <v>141</v>
      </c>
      <c r="B159" s="416" t="s">
        <v>1130</v>
      </c>
      <c r="C159" s="499">
        <f t="shared" si="30"/>
        <v>506.31</v>
      </c>
      <c r="D159" s="499">
        <f t="shared" si="29"/>
        <v>0</v>
      </c>
      <c r="E159" s="499"/>
      <c r="F159" s="499"/>
      <c r="G159" s="499">
        <f t="shared" si="26"/>
        <v>253</v>
      </c>
      <c r="H159" s="499"/>
      <c r="I159" s="499">
        <f t="shared" si="27"/>
        <v>0</v>
      </c>
      <c r="J159" s="499">
        <f t="shared" si="27"/>
        <v>0</v>
      </c>
      <c r="K159" s="499">
        <f t="shared" si="27"/>
        <v>253.155</v>
      </c>
      <c r="L159" s="499"/>
      <c r="M159" s="506">
        <v>0</v>
      </c>
      <c r="N159" s="506">
        <v>0</v>
      </c>
      <c r="O159" s="506">
        <v>506.31</v>
      </c>
      <c r="P159" s="499"/>
      <c r="Q159" s="506">
        <v>0</v>
      </c>
      <c r="R159" s="506">
        <v>0</v>
      </c>
      <c r="S159" s="506">
        <v>0</v>
      </c>
    </row>
    <row r="160" spans="1:19">
      <c r="A160" s="502">
        <f t="shared" si="28"/>
        <v>142</v>
      </c>
      <c r="B160" s="416" t="s">
        <v>1131</v>
      </c>
      <c r="C160" s="499">
        <f t="shared" si="30"/>
        <v>-2065.66</v>
      </c>
      <c r="D160" s="499">
        <f t="shared" si="29"/>
        <v>-18872.34</v>
      </c>
      <c r="E160" s="499"/>
      <c r="F160" s="499"/>
      <c r="G160" s="499">
        <f t="shared" si="26"/>
        <v>-10469</v>
      </c>
      <c r="H160" s="499"/>
      <c r="I160" s="499">
        <f t="shared" si="27"/>
        <v>0</v>
      </c>
      <c r="J160" s="499">
        <f t="shared" si="27"/>
        <v>0</v>
      </c>
      <c r="K160" s="499">
        <f t="shared" si="27"/>
        <v>-10469</v>
      </c>
      <c r="L160" s="499"/>
      <c r="M160" s="506">
        <v>0</v>
      </c>
      <c r="N160" s="506">
        <v>0</v>
      </c>
      <c r="O160" s="506">
        <v>-2065.66</v>
      </c>
      <c r="P160" s="499"/>
      <c r="Q160" s="506">
        <v>0</v>
      </c>
      <c r="R160" s="506">
        <v>0</v>
      </c>
      <c r="S160" s="506">
        <v>-18872.34</v>
      </c>
    </row>
    <row r="161" spans="1:19">
      <c r="A161" s="502">
        <f t="shared" si="28"/>
        <v>143</v>
      </c>
      <c r="B161" s="416" t="s">
        <v>1221</v>
      </c>
      <c r="C161" s="499">
        <f t="shared" ref="C161:C164" si="34">SUM(M161:O161)</f>
        <v>0</v>
      </c>
      <c r="D161" s="499">
        <f t="shared" si="29"/>
        <v>124678.75</v>
      </c>
      <c r="E161" s="499"/>
      <c r="F161" s="499"/>
      <c r="G161" s="499">
        <f t="shared" si="26"/>
        <v>62339</v>
      </c>
      <c r="H161" s="499"/>
      <c r="I161" s="499">
        <f t="shared" ref="I161:K171" si="35">(M161+Q161)/2</f>
        <v>0</v>
      </c>
      <c r="J161" s="499">
        <f t="shared" si="35"/>
        <v>0</v>
      </c>
      <c r="K161" s="499">
        <f t="shared" si="35"/>
        <v>62339.375</v>
      </c>
      <c r="L161" s="499"/>
      <c r="M161" s="506">
        <v>0</v>
      </c>
      <c r="N161" s="506">
        <v>0</v>
      </c>
      <c r="O161" s="506">
        <v>0</v>
      </c>
      <c r="P161" s="499"/>
      <c r="Q161" s="506">
        <v>0</v>
      </c>
      <c r="R161" s="506">
        <v>0</v>
      </c>
      <c r="S161" s="506">
        <v>124678.75</v>
      </c>
    </row>
    <row r="162" spans="1:19">
      <c r="A162" s="502">
        <f t="shared" si="28"/>
        <v>144</v>
      </c>
      <c r="B162" s="416" t="s">
        <v>1222</v>
      </c>
      <c r="C162" s="499">
        <f t="shared" si="34"/>
        <v>0</v>
      </c>
      <c r="D162" s="499">
        <f t="shared" si="29"/>
        <v>-517674.59</v>
      </c>
      <c r="E162" s="499"/>
      <c r="F162" s="499"/>
      <c r="G162" s="499">
        <f t="shared" si="26"/>
        <v>-258837</v>
      </c>
      <c r="H162" s="499"/>
      <c r="I162" s="499">
        <f t="shared" si="35"/>
        <v>0</v>
      </c>
      <c r="J162" s="499">
        <f t="shared" si="35"/>
        <v>0</v>
      </c>
      <c r="K162" s="499">
        <f t="shared" si="35"/>
        <v>-258837.29500000001</v>
      </c>
      <c r="L162" s="499"/>
      <c r="M162" s="506">
        <v>0</v>
      </c>
      <c r="N162" s="506">
        <v>0</v>
      </c>
      <c r="O162" s="506">
        <v>0</v>
      </c>
      <c r="P162" s="499"/>
      <c r="Q162" s="506">
        <v>0</v>
      </c>
      <c r="R162" s="506">
        <v>0</v>
      </c>
      <c r="S162" s="506">
        <v>-517674.59</v>
      </c>
    </row>
    <row r="163" spans="1:19">
      <c r="A163" s="502">
        <f t="shared" si="28"/>
        <v>145</v>
      </c>
      <c r="B163" s="416" t="s">
        <v>1223</v>
      </c>
      <c r="C163" s="499">
        <f t="shared" si="34"/>
        <v>0</v>
      </c>
      <c r="D163" s="499">
        <f t="shared" si="29"/>
        <v>517674.59</v>
      </c>
      <c r="E163" s="499"/>
      <c r="F163" s="499"/>
      <c r="G163" s="499">
        <f t="shared" si="26"/>
        <v>258837</v>
      </c>
      <c r="H163" s="499"/>
      <c r="I163" s="499">
        <f t="shared" si="35"/>
        <v>0</v>
      </c>
      <c r="J163" s="499">
        <f t="shared" si="35"/>
        <v>0</v>
      </c>
      <c r="K163" s="499">
        <f t="shared" si="35"/>
        <v>258837.29500000001</v>
      </c>
      <c r="L163" s="499"/>
      <c r="M163" s="506">
        <v>0</v>
      </c>
      <c r="N163" s="506">
        <v>0</v>
      </c>
      <c r="O163" s="506">
        <v>0</v>
      </c>
      <c r="P163" s="499"/>
      <c r="Q163" s="506">
        <v>0</v>
      </c>
      <c r="R163" s="506">
        <v>0</v>
      </c>
      <c r="S163" s="506">
        <v>517674.59</v>
      </c>
    </row>
    <row r="164" spans="1:19">
      <c r="A164" s="502">
        <f t="shared" si="28"/>
        <v>146</v>
      </c>
      <c r="B164" s="416" t="s">
        <v>1224</v>
      </c>
      <c r="C164" s="499">
        <f t="shared" si="34"/>
        <v>0</v>
      </c>
      <c r="D164" s="499">
        <f t="shared" si="29"/>
        <v>-158273.85999999999</v>
      </c>
      <c r="E164" s="499"/>
      <c r="F164" s="499"/>
      <c r="G164" s="499">
        <f t="shared" si="26"/>
        <v>-79137</v>
      </c>
      <c r="H164" s="499"/>
      <c r="I164" s="499">
        <f t="shared" si="35"/>
        <v>0</v>
      </c>
      <c r="J164" s="499">
        <f t="shared" si="35"/>
        <v>0</v>
      </c>
      <c r="K164" s="499">
        <f t="shared" si="35"/>
        <v>-79136.929999999993</v>
      </c>
      <c r="L164" s="499"/>
      <c r="M164" s="506">
        <v>0</v>
      </c>
      <c r="N164" s="506">
        <v>0</v>
      </c>
      <c r="O164" s="506">
        <v>0</v>
      </c>
      <c r="P164" s="499"/>
      <c r="Q164" s="506">
        <v>0</v>
      </c>
      <c r="R164" s="506">
        <v>0</v>
      </c>
      <c r="S164" s="506">
        <v>-158273.85999999999</v>
      </c>
    </row>
    <row r="165" spans="1:19">
      <c r="A165" s="502">
        <f t="shared" si="28"/>
        <v>147</v>
      </c>
      <c r="B165" s="182" t="s">
        <v>457</v>
      </c>
      <c r="C165" s="499">
        <f t="shared" si="30"/>
        <v>10602961.250000002</v>
      </c>
      <c r="D165" s="499">
        <f t="shared" si="29"/>
        <v>10321149.65</v>
      </c>
      <c r="E165" s="499"/>
      <c r="F165" s="499"/>
      <c r="G165" s="499">
        <f t="shared" si="26"/>
        <v>10462055</v>
      </c>
      <c r="H165" s="499"/>
      <c r="I165" s="499">
        <f t="shared" si="35"/>
        <v>8509909.2750000004</v>
      </c>
      <c r="J165" s="499">
        <f t="shared" si="35"/>
        <v>336925.92499999999</v>
      </c>
      <c r="K165" s="499">
        <f t="shared" si="35"/>
        <v>1615220.25</v>
      </c>
      <c r="L165" s="499"/>
      <c r="M165" s="506">
        <v>8671144.3000000007</v>
      </c>
      <c r="N165" s="506">
        <v>331034.55</v>
      </c>
      <c r="O165" s="506">
        <v>1600782.4</v>
      </c>
      <c r="P165" s="499"/>
      <c r="Q165" s="506">
        <v>8348674.25</v>
      </c>
      <c r="R165" s="506">
        <v>342817.3</v>
      </c>
      <c r="S165" s="506">
        <v>1629658.1</v>
      </c>
    </row>
    <row r="166" spans="1:19">
      <c r="A166" s="502">
        <f t="shared" si="28"/>
        <v>148</v>
      </c>
      <c r="B166" s="603" t="s">
        <v>1031</v>
      </c>
      <c r="C166" s="604">
        <f t="shared" si="30"/>
        <v>14283400.149999999</v>
      </c>
      <c r="D166" s="604">
        <f t="shared" si="29"/>
        <v>15865115.6</v>
      </c>
      <c r="E166" s="604"/>
      <c r="F166" s="604"/>
      <c r="G166" s="604">
        <f t="shared" si="26"/>
        <v>15074258</v>
      </c>
      <c r="H166" s="604"/>
      <c r="I166" s="604">
        <f t="shared" si="35"/>
        <v>5337908.42</v>
      </c>
      <c r="J166" s="604">
        <f t="shared" si="35"/>
        <v>3071444.23</v>
      </c>
      <c r="K166" s="604">
        <f t="shared" si="35"/>
        <v>6664905.2249999996</v>
      </c>
      <c r="L166" s="604"/>
      <c r="M166" s="604">
        <v>5132474.5199999996</v>
      </c>
      <c r="N166" s="604">
        <v>2955773.78</v>
      </c>
      <c r="O166" s="604">
        <v>6195151.8499999996</v>
      </c>
      <c r="P166" s="604"/>
      <c r="Q166" s="604">
        <v>5543342.3200000003</v>
      </c>
      <c r="R166" s="604">
        <v>3187114.68</v>
      </c>
      <c r="S166" s="604">
        <v>7134658.5999999996</v>
      </c>
    </row>
    <row r="167" spans="1:19">
      <c r="A167" s="502">
        <f t="shared" si="28"/>
        <v>149</v>
      </c>
      <c r="B167" s="182" t="s">
        <v>458</v>
      </c>
      <c r="C167" s="499">
        <f t="shared" si="30"/>
        <v>35523154.270000003</v>
      </c>
      <c r="D167" s="499">
        <f t="shared" si="29"/>
        <v>34028982.219999999</v>
      </c>
      <c r="E167" s="499"/>
      <c r="F167" s="499"/>
      <c r="G167" s="499">
        <f t="shared" si="26"/>
        <v>34776068</v>
      </c>
      <c r="H167" s="499"/>
      <c r="I167" s="499">
        <f t="shared" si="35"/>
        <v>17130821.805</v>
      </c>
      <c r="J167" s="499">
        <f t="shared" si="35"/>
        <v>7062896.3600000003</v>
      </c>
      <c r="K167" s="499">
        <f t="shared" si="35"/>
        <v>10582350.08</v>
      </c>
      <c r="L167" s="499"/>
      <c r="M167" s="506">
        <v>17500633.030000001</v>
      </c>
      <c r="N167" s="506">
        <v>7209322.3600000003</v>
      </c>
      <c r="O167" s="506">
        <v>10813198.880000001</v>
      </c>
      <c r="P167" s="499"/>
      <c r="Q167" s="506">
        <v>16761010.58</v>
      </c>
      <c r="R167" s="506">
        <v>6916470.3600000003</v>
      </c>
      <c r="S167" s="506">
        <v>10351501.279999999</v>
      </c>
    </row>
    <row r="168" spans="1:19">
      <c r="A168" s="502">
        <f t="shared" si="28"/>
        <v>150</v>
      </c>
      <c r="B168" s="603" t="s">
        <v>571</v>
      </c>
      <c r="C168" s="604">
        <f t="shared" si="30"/>
        <v>0</v>
      </c>
      <c r="D168" s="604">
        <f t="shared" si="29"/>
        <v>0</v>
      </c>
      <c r="E168" s="604"/>
      <c r="F168" s="604"/>
      <c r="G168" s="604">
        <f t="shared" si="26"/>
        <v>0</v>
      </c>
      <c r="H168" s="604"/>
      <c r="I168" s="604">
        <f t="shared" si="35"/>
        <v>0</v>
      </c>
      <c r="J168" s="604">
        <f t="shared" si="35"/>
        <v>0</v>
      </c>
      <c r="K168" s="604">
        <f t="shared" si="35"/>
        <v>0</v>
      </c>
      <c r="L168" s="604"/>
      <c r="M168" s="604">
        <v>0</v>
      </c>
      <c r="N168" s="604">
        <v>0</v>
      </c>
      <c r="O168" s="604">
        <v>0</v>
      </c>
      <c r="P168" s="604"/>
      <c r="Q168" s="604">
        <v>0</v>
      </c>
      <c r="R168" s="604">
        <v>0</v>
      </c>
      <c r="S168" s="604">
        <v>0</v>
      </c>
    </row>
    <row r="169" spans="1:19">
      <c r="A169" s="502">
        <f t="shared" si="28"/>
        <v>151</v>
      </c>
      <c r="B169" s="621" t="s">
        <v>1032</v>
      </c>
      <c r="C169" s="604">
        <f t="shared" si="30"/>
        <v>1854777.52</v>
      </c>
      <c r="D169" s="604">
        <f t="shared" si="29"/>
        <v>1648691.12</v>
      </c>
      <c r="E169" s="604"/>
      <c r="F169" s="604"/>
      <c r="G169" s="604">
        <f>ROUND(SUM(C169:F169)/2,0)</f>
        <v>1751734</v>
      </c>
      <c r="H169" s="604"/>
      <c r="I169" s="604">
        <f t="shared" si="35"/>
        <v>724541.32000000007</v>
      </c>
      <c r="J169" s="604">
        <f t="shared" si="35"/>
        <v>113126.47</v>
      </c>
      <c r="K169" s="604">
        <f t="shared" si="35"/>
        <v>914066.53</v>
      </c>
      <c r="L169" s="604"/>
      <c r="M169" s="604">
        <v>767161.41</v>
      </c>
      <c r="N169" s="604">
        <v>119780.97</v>
      </c>
      <c r="O169" s="604">
        <v>967835.14</v>
      </c>
      <c r="P169" s="604"/>
      <c r="Q169" s="604">
        <v>681921.23</v>
      </c>
      <c r="R169" s="604">
        <v>106471.97</v>
      </c>
      <c r="S169" s="604">
        <v>860297.92</v>
      </c>
    </row>
    <row r="170" spans="1:19">
      <c r="A170" s="502">
        <f t="shared" si="28"/>
        <v>152</v>
      </c>
      <c r="B170" s="603" t="s">
        <v>80</v>
      </c>
      <c r="C170" s="604">
        <f t="shared" si="30"/>
        <v>6866424.7799999993</v>
      </c>
      <c r="D170" s="604">
        <f t="shared" si="29"/>
        <v>6103036.9000000004</v>
      </c>
      <c r="E170" s="604"/>
      <c r="F170" s="604"/>
      <c r="G170" s="604">
        <f t="shared" si="26"/>
        <v>6484731</v>
      </c>
      <c r="H170" s="604"/>
      <c r="I170" s="604">
        <f t="shared" si="35"/>
        <v>2696932.7949999999</v>
      </c>
      <c r="J170" s="604">
        <f t="shared" si="35"/>
        <v>422376.08499999996</v>
      </c>
      <c r="K170" s="604">
        <f t="shared" si="35"/>
        <v>3365421.96</v>
      </c>
      <c r="L170" s="604"/>
      <c r="M170" s="604">
        <v>3036180.42</v>
      </c>
      <c r="N170" s="604">
        <v>521215.01</v>
      </c>
      <c r="O170" s="604">
        <v>3309029.35</v>
      </c>
      <c r="P170" s="604"/>
      <c r="Q170" s="604">
        <v>2357685.17</v>
      </c>
      <c r="R170" s="604">
        <v>323537.15999999997</v>
      </c>
      <c r="S170" s="604">
        <v>3421814.57</v>
      </c>
    </row>
    <row r="171" spans="1:19">
      <c r="A171" s="502">
        <f t="shared" si="28"/>
        <v>153</v>
      </c>
      <c r="B171" s="182" t="s">
        <v>35</v>
      </c>
      <c r="C171" s="499">
        <f t="shared" si="30"/>
        <v>1779558.55</v>
      </c>
      <c r="D171" s="499">
        <f t="shared" si="29"/>
        <v>1779558.55</v>
      </c>
      <c r="E171" s="499"/>
      <c r="F171" s="499"/>
      <c r="G171" s="499">
        <f t="shared" si="26"/>
        <v>1779559</v>
      </c>
      <c r="H171" s="499"/>
      <c r="I171" s="499">
        <f t="shared" si="35"/>
        <v>1779558.55</v>
      </c>
      <c r="J171" s="499">
        <f t="shared" si="35"/>
        <v>0</v>
      </c>
      <c r="K171" s="499">
        <f t="shared" si="35"/>
        <v>0</v>
      </c>
      <c r="L171" s="499"/>
      <c r="M171" s="506">
        <v>1779558.55</v>
      </c>
      <c r="N171" s="506">
        <v>0</v>
      </c>
      <c r="O171" s="506">
        <v>0</v>
      </c>
      <c r="P171" s="499"/>
      <c r="Q171" s="506">
        <v>1779558.55</v>
      </c>
      <c r="R171" s="506">
        <v>0</v>
      </c>
      <c r="S171" s="506">
        <v>0</v>
      </c>
    </row>
    <row r="172" spans="1:19">
      <c r="A172" s="502">
        <f t="shared" si="28"/>
        <v>154</v>
      </c>
      <c r="B172" s="501" t="s">
        <v>485</v>
      </c>
      <c r="C172" s="503">
        <v>378847.35</v>
      </c>
      <c r="D172" s="503">
        <v>186296</v>
      </c>
      <c r="E172" s="499">
        <f t="shared" ref="E172:F177" si="36">-C172</f>
        <v>-378847.35</v>
      </c>
      <c r="F172" s="499">
        <f t="shared" si="36"/>
        <v>-186296</v>
      </c>
      <c r="G172" s="499">
        <f t="shared" si="26"/>
        <v>0</v>
      </c>
      <c r="H172" s="499"/>
      <c r="I172" s="499"/>
      <c r="J172" s="499"/>
      <c r="K172" s="499"/>
      <c r="L172" s="499"/>
      <c r="M172" s="499"/>
      <c r="N172" s="499"/>
      <c r="O172" s="499"/>
      <c r="P172" s="499"/>
      <c r="Q172" s="499"/>
      <c r="R172" s="499"/>
      <c r="S172" s="499"/>
    </row>
    <row r="173" spans="1:19">
      <c r="A173" s="502">
        <f t="shared" si="28"/>
        <v>155</v>
      </c>
      <c r="B173" s="501" t="s">
        <v>81</v>
      </c>
      <c r="C173" s="503">
        <v>152029235.34</v>
      </c>
      <c r="D173" s="503">
        <v>166901973</v>
      </c>
      <c r="E173" s="499">
        <f t="shared" si="36"/>
        <v>-152029235.34</v>
      </c>
      <c r="F173" s="499">
        <f t="shared" si="36"/>
        <v>-166901973</v>
      </c>
      <c r="G173" s="499">
        <f t="shared" si="26"/>
        <v>0</v>
      </c>
      <c r="H173" s="499"/>
      <c r="I173" s="499"/>
      <c r="J173" s="499"/>
      <c r="K173" s="499"/>
      <c r="L173" s="499"/>
      <c r="M173" s="499"/>
      <c r="N173" s="499"/>
      <c r="O173" s="499"/>
      <c r="P173" s="499"/>
      <c r="Q173" s="499"/>
      <c r="R173" s="499"/>
      <c r="S173" s="499"/>
    </row>
    <row r="174" spans="1:19">
      <c r="A174" s="502">
        <f t="shared" si="28"/>
        <v>156</v>
      </c>
      <c r="B174" s="501" t="s">
        <v>82</v>
      </c>
      <c r="C174" s="503">
        <v>0</v>
      </c>
      <c r="D174" s="503">
        <v>0</v>
      </c>
      <c r="E174" s="499">
        <f t="shared" si="36"/>
        <v>0</v>
      </c>
      <c r="F174" s="499">
        <f t="shared" si="36"/>
        <v>0</v>
      </c>
      <c r="G174" s="499">
        <f t="shared" si="26"/>
        <v>0</v>
      </c>
      <c r="H174" s="499"/>
      <c r="I174" s="499"/>
      <c r="J174" s="499"/>
      <c r="K174" s="499"/>
      <c r="L174" s="499"/>
      <c r="M174" s="499"/>
      <c r="N174" s="499"/>
      <c r="O174" s="499"/>
      <c r="P174" s="499"/>
      <c r="Q174" s="499"/>
      <c r="R174" s="499"/>
      <c r="S174" s="499"/>
    </row>
    <row r="175" spans="1:19">
      <c r="A175" s="502">
        <f t="shared" si="28"/>
        <v>157</v>
      </c>
      <c r="B175" s="512" t="s">
        <v>36</v>
      </c>
      <c r="C175" s="503">
        <f>1125135.56+944273.89+1378859.18</f>
        <v>3448268.63</v>
      </c>
      <c r="D175" s="503">
        <f>986303.6+866603.38+1130647.98-1</f>
        <v>2983553.96</v>
      </c>
      <c r="E175" s="499">
        <f>-C175</f>
        <v>-3448268.63</v>
      </c>
      <c r="F175" s="499">
        <f>-D175</f>
        <v>-2983553.96</v>
      </c>
      <c r="G175" s="499">
        <f t="shared" si="26"/>
        <v>0</v>
      </c>
      <c r="H175" s="499"/>
      <c r="I175" s="499"/>
      <c r="J175" s="499"/>
      <c r="K175" s="499"/>
      <c r="L175" s="499"/>
      <c r="M175" s="499"/>
      <c r="N175" s="499"/>
      <c r="O175" s="499"/>
      <c r="P175" s="499"/>
      <c r="Q175" s="499"/>
      <c r="R175" s="499"/>
      <c r="S175" s="499"/>
    </row>
    <row r="176" spans="1:19">
      <c r="A176" s="502">
        <f t="shared" si="28"/>
        <v>158</v>
      </c>
      <c r="B176" s="512" t="s">
        <v>37</v>
      </c>
      <c r="C176" s="503">
        <f>28333.38+11631.36</f>
        <v>39964.740000000005</v>
      </c>
      <c r="D176" s="503">
        <f>24773.34+10904.4</f>
        <v>35677.74</v>
      </c>
      <c r="E176" s="499">
        <f>-C176</f>
        <v>-39964.740000000005</v>
      </c>
      <c r="F176" s="499">
        <f>-D176</f>
        <v>-35677.74</v>
      </c>
      <c r="G176" s="499">
        <f t="shared" si="26"/>
        <v>0</v>
      </c>
      <c r="H176" s="499"/>
      <c r="I176" s="499"/>
      <c r="J176" s="499"/>
      <c r="K176" s="499"/>
      <c r="L176" s="499"/>
      <c r="M176" s="499"/>
      <c r="N176" s="499"/>
      <c r="O176" s="499"/>
      <c r="P176" s="499"/>
      <c r="Q176" s="499"/>
      <c r="R176" s="499"/>
      <c r="S176" s="499"/>
    </row>
    <row r="177" spans="1:20">
      <c r="A177" s="502">
        <f t="shared" si="28"/>
        <v>159</v>
      </c>
      <c r="B177" s="501" t="s">
        <v>572</v>
      </c>
      <c r="C177" s="503">
        <v>0</v>
      </c>
      <c r="D177" s="503">
        <v>0</v>
      </c>
      <c r="E177" s="499">
        <f t="shared" si="36"/>
        <v>0</v>
      </c>
      <c r="F177" s="499">
        <f t="shared" si="36"/>
        <v>0</v>
      </c>
      <c r="G177" s="499">
        <f t="shared" si="26"/>
        <v>0</v>
      </c>
      <c r="H177" s="499"/>
      <c r="I177" s="499"/>
      <c r="J177" s="499"/>
      <c r="K177" s="499"/>
      <c r="L177" s="499"/>
      <c r="M177" s="499"/>
      <c r="N177" s="499"/>
      <c r="O177" s="499"/>
      <c r="P177" s="499"/>
      <c r="Q177" s="499"/>
      <c r="R177" s="499"/>
      <c r="S177" s="499"/>
    </row>
    <row r="178" spans="1:20">
      <c r="A178" s="502">
        <f t="shared" si="28"/>
        <v>160</v>
      </c>
      <c r="B178" s="493"/>
      <c r="C178" s="499"/>
      <c r="D178" s="499"/>
      <c r="E178" s="499"/>
      <c r="F178" s="499"/>
      <c r="G178" s="499"/>
      <c r="H178" s="499"/>
      <c r="I178" s="499"/>
      <c r="J178" s="499"/>
      <c r="K178" s="499"/>
      <c r="L178" s="499"/>
      <c r="M178" s="499"/>
      <c r="N178" s="499"/>
      <c r="O178" s="499"/>
      <c r="P178" s="499"/>
      <c r="Q178" s="499"/>
      <c r="R178" s="499"/>
      <c r="S178" s="499"/>
    </row>
    <row r="179" spans="1:20" ht="13.8" thickBot="1">
      <c r="A179" s="502">
        <f t="shared" si="28"/>
        <v>161</v>
      </c>
      <c r="B179" s="501"/>
      <c r="C179" s="504">
        <f>SUM(C79:C178)</f>
        <v>556471661.95000005</v>
      </c>
      <c r="D179" s="504">
        <f>SUM(D79:D178)</f>
        <v>532532076.77999997</v>
      </c>
      <c r="E179" s="504">
        <f>SUM(E79:E178)</f>
        <v>-155896316.06</v>
      </c>
      <c r="F179" s="504">
        <f>SUM(F79:F178)</f>
        <v>-170107500.70000002</v>
      </c>
      <c r="G179" s="504">
        <f>SUM(G79:G178)</f>
        <v>381499958</v>
      </c>
      <c r="H179" s="526"/>
      <c r="I179" s="504">
        <f>SUM(I79:I178)</f>
        <v>248529184.99499997</v>
      </c>
      <c r="J179" s="504">
        <f>SUM(J79:J178)</f>
        <v>35009308.420000002</v>
      </c>
      <c r="K179" s="504">
        <f>SUM(K79:K178)</f>
        <v>97961467.569999993</v>
      </c>
      <c r="L179" s="526"/>
      <c r="M179" s="504">
        <f>SUM(M79:M178)</f>
        <v>260854135.80000004</v>
      </c>
      <c r="N179" s="504">
        <f>SUM(N79:N178)</f>
        <v>41618988.57</v>
      </c>
      <c r="O179" s="504">
        <f>SUM(O79:O178)</f>
        <v>98102221.520000011</v>
      </c>
      <c r="P179" s="526"/>
      <c r="Q179" s="504">
        <f>SUM(Q79:Q178)</f>
        <v>236204234.19000003</v>
      </c>
      <c r="R179" s="504">
        <f>SUM(R79:R178)</f>
        <v>28399628.27</v>
      </c>
      <c r="S179" s="504">
        <f>SUM(S79:S178)</f>
        <v>97820713.620000005</v>
      </c>
    </row>
    <row r="180" spans="1:20" ht="13.8" thickTop="1">
      <c r="A180" s="502">
        <f t="shared" si="28"/>
        <v>162</v>
      </c>
      <c r="B180" s="493"/>
      <c r="C180" s="505"/>
      <c r="D180" s="505"/>
      <c r="E180" s="505"/>
      <c r="F180" s="505"/>
      <c r="G180" s="505"/>
      <c r="H180" s="499"/>
      <c r="I180" s="505"/>
      <c r="J180" s="505"/>
      <c r="K180" s="505"/>
      <c r="L180" s="499"/>
      <c r="M180" s="505"/>
      <c r="N180" s="505"/>
      <c r="O180" s="505"/>
      <c r="P180" s="499"/>
      <c r="Q180" s="505"/>
      <c r="R180" s="505"/>
      <c r="S180" s="505"/>
    </row>
    <row r="181" spans="1:20">
      <c r="A181" s="502">
        <f t="shared" si="28"/>
        <v>163</v>
      </c>
      <c r="B181" s="493"/>
      <c r="C181" s="499"/>
      <c r="D181" s="499"/>
      <c r="E181" s="499"/>
      <c r="F181" s="499"/>
      <c r="G181" s="499"/>
      <c r="H181" s="499"/>
      <c r="I181" s="499"/>
      <c r="J181" s="499"/>
      <c r="K181" s="499"/>
      <c r="L181" s="499"/>
      <c r="M181" s="499"/>
      <c r="N181" s="499"/>
      <c r="O181" s="499"/>
      <c r="P181" s="499"/>
      <c r="Q181" s="499"/>
      <c r="R181" s="499"/>
      <c r="S181" s="499"/>
    </row>
    <row r="182" spans="1:20">
      <c r="A182" s="502">
        <f t="shared" si="28"/>
        <v>164</v>
      </c>
      <c r="B182" s="182" t="s">
        <v>452</v>
      </c>
      <c r="C182" s="499">
        <f>SUM(M182:O182)</f>
        <v>61981829.269999996</v>
      </c>
      <c r="D182" s="499">
        <f>SUM(Q182:S182)</f>
        <v>65347744</v>
      </c>
      <c r="E182" s="499"/>
      <c r="F182" s="499"/>
      <c r="G182" s="499">
        <f>ROUND(SUM(C182:F182)/2,0)</f>
        <v>63664787</v>
      </c>
      <c r="H182" s="499"/>
      <c r="I182" s="499">
        <f t="shared" ref="I182:K182" si="37">(M182+Q182)/2</f>
        <v>43152106.5</v>
      </c>
      <c r="J182" s="499">
        <f t="shared" si="37"/>
        <v>8666337.75</v>
      </c>
      <c r="K182" s="499">
        <f t="shared" si="37"/>
        <v>11846342.385</v>
      </c>
      <c r="L182" s="499"/>
      <c r="M182" s="503">
        <v>40917989</v>
      </c>
      <c r="N182" s="503">
        <v>8899512.5</v>
      </c>
      <c r="O182" s="503">
        <v>12164327.77</v>
      </c>
      <c r="P182" s="499"/>
      <c r="Q182" s="503">
        <v>45386224</v>
      </c>
      <c r="R182" s="503">
        <v>8433163</v>
      </c>
      <c r="S182" s="503">
        <v>11528357</v>
      </c>
    </row>
    <row r="183" spans="1:20">
      <c r="A183" s="502">
        <f t="shared" si="28"/>
        <v>165</v>
      </c>
      <c r="B183" s="501" t="s">
        <v>83</v>
      </c>
      <c r="C183" s="503">
        <v>246830335</v>
      </c>
      <c r="D183" s="503">
        <v>254694538</v>
      </c>
      <c r="E183" s="499">
        <f>-C183</f>
        <v>-246830335</v>
      </c>
      <c r="F183" s="499">
        <f>-D183</f>
        <v>-254694538</v>
      </c>
      <c r="G183" s="499">
        <f>ROUND(SUM(C183:F183)/2,0)</f>
        <v>0</v>
      </c>
      <c r="H183" s="499"/>
      <c r="I183" s="499"/>
      <c r="J183" s="499"/>
      <c r="K183" s="499"/>
      <c r="L183" s="499"/>
      <c r="M183" s="499"/>
      <c r="N183" s="499"/>
      <c r="O183" s="499"/>
      <c r="P183" s="499"/>
      <c r="Q183" s="499"/>
      <c r="R183" s="499"/>
      <c r="S183" s="499"/>
    </row>
    <row r="184" spans="1:20">
      <c r="A184" s="502">
        <f t="shared" si="28"/>
        <v>166</v>
      </c>
      <c r="B184" s="493"/>
      <c r="C184" s="499"/>
      <c r="D184" s="499"/>
      <c r="E184" s="499"/>
      <c r="F184" s="499"/>
      <c r="G184" s="499"/>
      <c r="H184" s="499"/>
      <c r="I184" s="499"/>
      <c r="J184" s="499"/>
      <c r="K184" s="499"/>
      <c r="L184" s="499"/>
      <c r="M184" s="499"/>
      <c r="N184" s="499"/>
      <c r="O184" s="499"/>
      <c r="P184" s="499"/>
      <c r="Q184" s="499"/>
      <c r="R184" s="499"/>
      <c r="S184" s="499"/>
    </row>
    <row r="185" spans="1:20" ht="13.8" thickBot="1">
      <c r="A185" s="502">
        <f t="shared" si="28"/>
        <v>167</v>
      </c>
      <c r="B185" s="501" t="s">
        <v>84</v>
      </c>
      <c r="C185" s="504">
        <f>SUM(C179:C184)</f>
        <v>865283826.22000003</v>
      </c>
      <c r="D185" s="504">
        <f>SUM(D179:D184)</f>
        <v>852574358.77999997</v>
      </c>
      <c r="E185" s="504">
        <f>SUM(E179:E184)</f>
        <v>-402726651.06</v>
      </c>
      <c r="F185" s="504">
        <f>SUM(F179:F184)</f>
        <v>-424802038.70000005</v>
      </c>
      <c r="G185" s="504">
        <f>SUM(G179:G184)</f>
        <v>445164745</v>
      </c>
      <c r="H185" s="499"/>
      <c r="I185" s="504">
        <f>SUM(I179:I184)</f>
        <v>291681291.495</v>
      </c>
      <c r="J185" s="504">
        <f>SUM(J179:J184)</f>
        <v>43675646.170000002</v>
      </c>
      <c r="K185" s="504">
        <f>SUM(K179:K184)</f>
        <v>109807809.955</v>
      </c>
      <c r="L185" s="499"/>
      <c r="M185" s="578">
        <f>SUM(M179:M184)</f>
        <v>301772124.80000007</v>
      </c>
      <c r="N185" s="578">
        <f>SUM(N179:N184)</f>
        <v>50518501.07</v>
      </c>
      <c r="O185" s="578">
        <f>SUM(O179:O184)</f>
        <v>110266549.29000001</v>
      </c>
      <c r="P185" s="499"/>
      <c r="Q185" s="504">
        <f>SUM(Q179:Q184)</f>
        <v>281590458.19000006</v>
      </c>
      <c r="R185" s="504">
        <f>SUM(R179:R184)</f>
        <v>36832791.269999996</v>
      </c>
      <c r="S185" s="504">
        <f>SUM(S179:S184)</f>
        <v>109349070.62</v>
      </c>
      <c r="T185" s="630" t="s">
        <v>1227</v>
      </c>
    </row>
    <row r="186" spans="1:20" ht="13.8" thickTop="1">
      <c r="A186" s="502">
        <f t="shared" si="28"/>
        <v>168</v>
      </c>
      <c r="B186" s="493"/>
      <c r="C186" s="505"/>
      <c r="D186" s="505"/>
      <c r="E186" s="505"/>
      <c r="F186" s="505"/>
      <c r="G186" s="505"/>
      <c r="H186" s="499"/>
      <c r="I186" s="505"/>
      <c r="J186" s="505"/>
      <c r="K186" s="505"/>
      <c r="L186" s="499"/>
      <c r="M186" s="499"/>
      <c r="N186" s="499"/>
      <c r="O186" s="499"/>
      <c r="P186" s="499"/>
      <c r="Q186" s="505"/>
      <c r="R186" s="505"/>
      <c r="S186" s="505"/>
    </row>
    <row r="187" spans="1:20">
      <c r="A187" s="502"/>
      <c r="B187" s="609" t="s">
        <v>687</v>
      </c>
      <c r="C187" s="610"/>
      <c r="D187" s="610"/>
      <c r="E187" s="610"/>
      <c r="F187" s="610"/>
      <c r="G187" s="610"/>
      <c r="H187" s="604"/>
      <c r="I187" s="610"/>
      <c r="J187" s="610"/>
      <c r="K187" s="610"/>
      <c r="L187" s="604"/>
      <c r="M187" s="610"/>
      <c r="N187" s="610"/>
      <c r="O187" s="610"/>
      <c r="P187" s="604"/>
      <c r="Q187" s="611">
        <f>Q92+Q93+Q110+Q111+Q112+Q166+Q168+Q169+Q170</f>
        <v>30784566.490000002</v>
      </c>
      <c r="R187" s="611">
        <f t="shared" ref="R187:S187" si="38">R92+R93+R110+R111+R112+R166+R168+R169+R170</f>
        <v>5910747.1499999994</v>
      </c>
      <c r="S187" s="611">
        <f t="shared" si="38"/>
        <v>39615807.009999998</v>
      </c>
    </row>
    <row r="188" spans="1:20">
      <c r="A188" s="502"/>
      <c r="B188" s="612" t="s">
        <v>688</v>
      </c>
      <c r="C188" s="613"/>
      <c r="D188" s="613"/>
      <c r="E188" s="613"/>
      <c r="F188" s="613"/>
      <c r="G188" s="613"/>
      <c r="H188" s="608"/>
      <c r="I188" s="613"/>
      <c r="J188" s="613"/>
      <c r="K188" s="613"/>
      <c r="L188" s="608"/>
      <c r="M188" s="613"/>
      <c r="N188" s="613"/>
      <c r="O188" s="613"/>
      <c r="P188" s="608"/>
      <c r="Q188" s="614">
        <f>Q80+Q81+Q82+Q83+Q84+Q85+Q86+Q102+Q103+Q104+Q115+Q116+Q149</f>
        <v>31858940.649999995</v>
      </c>
      <c r="R188" s="614">
        <f t="shared" ref="R188:S188" si="39">R80+R81+R82+R83+R84+R85+R86+R102+R103+R104+R115+R116+R149</f>
        <v>0</v>
      </c>
      <c r="S188" s="614">
        <f t="shared" si="39"/>
        <v>944708.35</v>
      </c>
    </row>
    <row r="189" spans="1:20">
      <c r="A189" s="502"/>
      <c r="B189" s="510" t="s">
        <v>295</v>
      </c>
      <c r="C189" s="511"/>
      <c r="D189" s="511"/>
      <c r="E189" s="511"/>
      <c r="F189" s="511"/>
      <c r="G189" s="511"/>
      <c r="H189" s="508"/>
      <c r="I189" s="511"/>
      <c r="J189" s="511"/>
      <c r="K189" s="511"/>
      <c r="L189" s="508"/>
      <c r="M189" s="511"/>
      <c r="N189" s="511"/>
      <c r="O189" s="511"/>
      <c r="P189" s="508"/>
      <c r="Q189" s="615">
        <f>Q109+Q142</f>
        <v>10571050.310000001</v>
      </c>
      <c r="R189" s="615">
        <f t="shared" ref="R189:S189" si="40">R109+R142</f>
        <v>0</v>
      </c>
      <c r="S189" s="615">
        <f t="shared" si="40"/>
        <v>0</v>
      </c>
    </row>
    <row r="190" spans="1:20" ht="13.8" thickBot="1">
      <c r="A190" s="502"/>
      <c r="B190" s="493" t="s">
        <v>689</v>
      </c>
      <c r="C190" s="513"/>
      <c r="D190" s="513"/>
      <c r="E190" s="513"/>
      <c r="F190" s="513"/>
      <c r="G190" s="513"/>
      <c r="H190" s="499"/>
      <c r="I190" s="513"/>
      <c r="J190" s="513"/>
      <c r="K190" s="513"/>
      <c r="L190" s="499"/>
      <c r="M190" s="513"/>
      <c r="N190" s="513"/>
      <c r="O190" s="513"/>
      <c r="P190" s="499"/>
      <c r="Q190" s="579">
        <f>Q79+Q87+Q88+Q89+Q90+Q91+Q94+Q95+Q96+Q97+Q98+Q99+Q100+Q101+Q105+Q106+Q107+Q108+Q113+Q114+Q117+Q118+Q119+Q120+Q121+Q122+Q123+Q124+Q125+Q126+Q127+Q128+Q129+Q130+Q131+Q132+Q133+Q134+Q135+Q136+Q137+Q138+Q139+Q140+Q141+Q143+Q144+Q145+Q146+Q147+Q148+Q150+Q151+Q152+Q153+Q154+Q155+Q156+Q157+Q158+Q159+Q160+Q161+Q162+Q163+Q164+Q165+Q167+Q171+Q182</f>
        <v>208375900.74000001</v>
      </c>
      <c r="R190" s="579">
        <f t="shared" ref="R190:S190" si="41">R79+R87+R88+R89+R90+R91+R94+R95+R96+R97+R98+R99+R100+R101+R105+R106+R107+R108+R113+R114+R117+R118+R119+R120+R121+R122+R123+R124+R125+R126+R127+R128+R129+R130+R131+R132+R133+R134+R135+R136+R137+R138+R139+R140+R141+R143+R144+R145+R146+R147+R148+R150+R151+R152+R153+R154+R155+R156+R157+R158+R159+R160+R161+R162+R163+R164+R165+R167+R171+R182</f>
        <v>30922044.120000001</v>
      </c>
      <c r="S190" s="579">
        <f t="shared" si="41"/>
        <v>68788555.25999999</v>
      </c>
    </row>
    <row r="191" spans="1:20" ht="13.8" thickBot="1">
      <c r="A191" s="502"/>
      <c r="B191" s="616" t="s">
        <v>691</v>
      </c>
      <c r="C191" s="617"/>
      <c r="D191" s="617"/>
      <c r="E191" s="617"/>
      <c r="F191" s="617"/>
      <c r="G191" s="617"/>
      <c r="H191" s="617"/>
      <c r="I191" s="617"/>
      <c r="J191" s="617"/>
      <c r="K191" s="617"/>
      <c r="L191" s="617"/>
      <c r="M191" s="617"/>
      <c r="N191" s="617"/>
      <c r="O191" s="617"/>
      <c r="P191" s="617"/>
      <c r="Q191" s="618">
        <f>Q189+R185+S185</f>
        <v>156752912.19999999</v>
      </c>
      <c r="R191" s="617"/>
      <c r="S191" s="619"/>
    </row>
    <row r="192" spans="1:20">
      <c r="A192" s="502">
        <f>A186+1</f>
        <v>169</v>
      </c>
      <c r="B192" s="493"/>
      <c r="C192" s="512"/>
      <c r="D192" s="512"/>
      <c r="E192" s="499"/>
      <c r="F192" s="499"/>
      <c r="G192" s="499"/>
      <c r="H192" s="499"/>
      <c r="I192" s="499"/>
      <c r="J192" s="499"/>
      <c r="K192" s="499"/>
      <c r="L192" s="499"/>
      <c r="M192" s="499"/>
      <c r="N192" s="499"/>
      <c r="O192" s="499"/>
      <c r="P192" s="499"/>
      <c r="Q192" s="499"/>
      <c r="R192" s="499"/>
      <c r="S192" s="499"/>
    </row>
    <row r="193" spans="1:20">
      <c r="A193" s="502">
        <f t="shared" si="28"/>
        <v>170</v>
      </c>
      <c r="B193" s="501" t="s">
        <v>85</v>
      </c>
      <c r="C193" s="499"/>
      <c r="D193" s="499"/>
      <c r="E193" s="499"/>
      <c r="F193" s="499"/>
      <c r="G193" s="499"/>
      <c r="H193" s="499"/>
      <c r="I193" s="499"/>
      <c r="J193" s="499"/>
      <c r="K193" s="499"/>
      <c r="L193" s="499"/>
      <c r="M193" s="499"/>
      <c r="N193" s="499"/>
      <c r="O193" s="499"/>
      <c r="P193" s="499"/>
      <c r="Q193" s="499"/>
      <c r="R193" s="499"/>
      <c r="S193" s="499"/>
    </row>
    <row r="194" spans="1:20">
      <c r="A194" s="502">
        <f t="shared" si="28"/>
        <v>171</v>
      </c>
      <c r="B194" s="493"/>
      <c r="C194" s="499"/>
      <c r="D194" s="499"/>
      <c r="E194" s="499"/>
      <c r="F194" s="499"/>
      <c r="G194" s="499"/>
      <c r="H194" s="499"/>
      <c r="I194" s="499"/>
      <c r="J194" s="499"/>
      <c r="K194" s="499"/>
      <c r="L194" s="499"/>
      <c r="M194" s="499"/>
      <c r="N194" s="499"/>
      <c r="O194" s="499"/>
      <c r="P194" s="499"/>
      <c r="Q194" s="499"/>
      <c r="R194" s="499"/>
      <c r="S194" s="499"/>
    </row>
    <row r="195" spans="1:20">
      <c r="A195" s="502">
        <f t="shared" si="28"/>
        <v>172</v>
      </c>
      <c r="B195" s="501" t="s">
        <v>86</v>
      </c>
      <c r="C195" s="499"/>
      <c r="D195" s="499"/>
      <c r="E195" s="499"/>
      <c r="F195" s="499"/>
      <c r="G195" s="499"/>
      <c r="H195" s="499"/>
      <c r="I195" s="499"/>
      <c r="J195" s="499"/>
      <c r="K195" s="499"/>
      <c r="L195" s="499"/>
      <c r="M195" s="499"/>
      <c r="N195" s="499"/>
      <c r="O195" s="499"/>
      <c r="P195" s="499"/>
      <c r="Q195" s="499"/>
      <c r="R195" s="499"/>
      <c r="S195" s="499"/>
    </row>
    <row r="196" spans="1:20">
      <c r="A196" s="502">
        <f t="shared" si="28"/>
        <v>173</v>
      </c>
      <c r="B196" s="493"/>
      <c r="C196" s="499"/>
      <c r="D196" s="399"/>
      <c r="E196" s="399"/>
      <c r="F196" s="399"/>
      <c r="G196" s="399"/>
      <c r="H196" s="399"/>
      <c r="I196" s="399"/>
      <c r="J196" s="399"/>
      <c r="K196" s="399"/>
      <c r="L196" s="399"/>
      <c r="M196" s="499"/>
      <c r="N196" s="499"/>
      <c r="O196" s="499"/>
      <c r="P196" s="499"/>
      <c r="Q196" s="499"/>
      <c r="R196" s="499"/>
      <c r="S196" s="499"/>
    </row>
    <row r="197" spans="1:20">
      <c r="A197" s="502">
        <f t="shared" si="28"/>
        <v>174</v>
      </c>
      <c r="B197" s="501" t="s">
        <v>87</v>
      </c>
      <c r="C197" s="499"/>
      <c r="D197" s="399"/>
      <c r="E197" s="399"/>
      <c r="F197" s="399"/>
      <c r="G197" s="399"/>
      <c r="H197" s="399"/>
      <c r="I197" s="399"/>
      <c r="J197" s="399"/>
      <c r="K197" s="399"/>
      <c r="L197" s="399"/>
      <c r="M197" s="499"/>
      <c r="N197" s="499"/>
      <c r="O197" s="499"/>
      <c r="P197" s="499"/>
      <c r="Q197" s="499"/>
      <c r="R197" s="499"/>
      <c r="S197" s="499"/>
    </row>
    <row r="198" spans="1:20">
      <c r="A198" s="502">
        <f t="shared" si="28"/>
        <v>175</v>
      </c>
      <c r="B198" s="493"/>
      <c r="C198" s="499"/>
      <c r="D198" s="499"/>
      <c r="E198" s="499"/>
      <c r="F198" s="499"/>
      <c r="G198" s="499"/>
      <c r="H198" s="499"/>
      <c r="I198" s="499"/>
      <c r="J198" s="499"/>
      <c r="K198" s="499"/>
      <c r="L198" s="499"/>
      <c r="M198" s="499"/>
      <c r="N198" s="499"/>
      <c r="O198" s="499"/>
      <c r="P198" s="499"/>
      <c r="Q198" s="499"/>
      <c r="R198" s="499"/>
      <c r="S198" s="499"/>
    </row>
    <row r="199" spans="1:20">
      <c r="A199" s="502">
        <f t="shared" si="28"/>
        <v>176</v>
      </c>
      <c r="B199" s="182" t="s">
        <v>88</v>
      </c>
      <c r="C199" s="499"/>
      <c r="D199" s="499"/>
      <c r="E199" s="499"/>
      <c r="F199" s="499"/>
      <c r="G199" s="499"/>
      <c r="H199" s="499"/>
      <c r="I199" s="499"/>
      <c r="J199" s="499"/>
      <c r="K199" s="499"/>
      <c r="L199" s="499"/>
      <c r="M199" s="499"/>
      <c r="N199" s="499"/>
      <c r="O199" s="499"/>
      <c r="P199" s="499"/>
      <c r="Q199" s="499"/>
      <c r="R199" s="499"/>
      <c r="S199" s="499"/>
    </row>
    <row r="200" spans="1:20">
      <c r="A200" s="502">
        <f t="shared" si="28"/>
        <v>177</v>
      </c>
      <c r="B200" s="182" t="s">
        <v>89</v>
      </c>
      <c r="C200" s="499"/>
      <c r="D200" s="499"/>
      <c r="E200" s="499"/>
      <c r="F200" s="499"/>
      <c r="G200" s="499"/>
      <c r="H200" s="499"/>
      <c r="I200" s="499"/>
      <c r="J200" s="499"/>
      <c r="K200" s="499"/>
      <c r="L200" s="499"/>
      <c r="M200" s="499"/>
      <c r="N200" s="499"/>
      <c r="O200" s="499"/>
      <c r="P200" s="499"/>
      <c r="Q200" s="499"/>
      <c r="R200" s="499"/>
      <c r="S200" s="499"/>
    </row>
    <row r="201" spans="1:20">
      <c r="A201" s="502">
        <f t="shared" si="28"/>
        <v>178</v>
      </c>
      <c r="B201" s="182" t="s">
        <v>38</v>
      </c>
      <c r="C201" s="499">
        <f>SUM(M201:O201)</f>
        <v>172882</v>
      </c>
      <c r="D201" s="499">
        <f>SUM(Q201:S201)</f>
        <v>84209</v>
      </c>
      <c r="E201" s="499"/>
      <c r="F201" s="499"/>
      <c r="G201" s="499">
        <f>ROUND(SUM(C201:F201)/2,0)</f>
        <v>128546</v>
      </c>
      <c r="H201" s="499"/>
      <c r="I201" s="499">
        <f t="shared" ref="I201:K202" si="42">(M201+Q201)/2</f>
        <v>26528</v>
      </c>
      <c r="J201" s="499">
        <f t="shared" si="42"/>
        <v>87201</v>
      </c>
      <c r="K201" s="499">
        <f t="shared" si="42"/>
        <v>14816.5</v>
      </c>
      <c r="L201" s="499"/>
      <c r="M201" s="503">
        <v>37336</v>
      </c>
      <c r="N201" s="503">
        <v>115806</v>
      </c>
      <c r="O201" s="503">
        <v>19740</v>
      </c>
      <c r="P201" s="499"/>
      <c r="Q201" s="503">
        <v>15720</v>
      </c>
      <c r="R201" s="503">
        <v>58596</v>
      </c>
      <c r="S201" s="503">
        <v>9893</v>
      </c>
    </row>
    <row r="202" spans="1:20">
      <c r="A202" s="502">
        <f t="shared" si="28"/>
        <v>179</v>
      </c>
      <c r="B202" s="182" t="s">
        <v>39</v>
      </c>
      <c r="C202" s="499">
        <f>SUM(M202:O202)</f>
        <v>851995</v>
      </c>
      <c r="D202" s="499">
        <f>SUM(Q202:S202)</f>
        <v>830914</v>
      </c>
      <c r="E202" s="499"/>
      <c r="F202" s="499"/>
      <c r="G202" s="499">
        <f>ROUND(SUM(C202:F202)/2,0)</f>
        <v>841455</v>
      </c>
      <c r="H202" s="499"/>
      <c r="I202" s="499">
        <f t="shared" si="42"/>
        <v>841454.5</v>
      </c>
      <c r="J202" s="499">
        <f t="shared" si="42"/>
        <v>0</v>
      </c>
      <c r="K202" s="499">
        <f t="shared" si="42"/>
        <v>0</v>
      </c>
      <c r="L202" s="499"/>
      <c r="M202" s="503">
        <v>851995</v>
      </c>
      <c r="N202" s="503">
        <v>0</v>
      </c>
      <c r="O202" s="503">
        <v>0</v>
      </c>
      <c r="P202" s="499"/>
      <c r="Q202" s="503">
        <v>830914</v>
      </c>
      <c r="R202" s="503">
        <v>0</v>
      </c>
      <c r="S202" s="503">
        <v>0</v>
      </c>
    </row>
    <row r="203" spans="1:20">
      <c r="A203" s="502">
        <f t="shared" si="28"/>
        <v>180</v>
      </c>
      <c r="B203" s="501"/>
      <c r="C203" s="499"/>
      <c r="D203" s="499"/>
      <c r="E203" s="499"/>
      <c r="F203" s="499"/>
      <c r="G203" s="499"/>
      <c r="H203" s="499"/>
      <c r="I203" s="499"/>
      <c r="J203" s="499"/>
      <c r="K203" s="499"/>
      <c r="L203" s="499"/>
      <c r="M203" s="499"/>
      <c r="N203" s="499"/>
      <c r="O203" s="499"/>
      <c r="P203" s="499"/>
      <c r="Q203" s="499"/>
      <c r="R203" s="499"/>
      <c r="S203" s="499"/>
    </row>
    <row r="204" spans="1:20">
      <c r="A204" s="502">
        <f t="shared" si="28"/>
        <v>181</v>
      </c>
      <c r="B204" s="182" t="s">
        <v>90</v>
      </c>
      <c r="C204" s="504">
        <f>SUM(C201:C203)</f>
        <v>1024877</v>
      </c>
      <c r="D204" s="504">
        <f>SUM(D201:D203)</f>
        <v>915123</v>
      </c>
      <c r="E204" s="504">
        <f>SUM(E201:E203)</f>
        <v>0</v>
      </c>
      <c r="F204" s="504">
        <f>SUM(F201:F203)</f>
        <v>0</v>
      </c>
      <c r="G204" s="504">
        <f>SUM(G201:G203)</f>
        <v>970001</v>
      </c>
      <c r="H204" s="499"/>
      <c r="I204" s="504">
        <f>SUM(I201:I203)</f>
        <v>867982.5</v>
      </c>
      <c r="J204" s="504">
        <f>SUM(J201:J203)</f>
        <v>87201</v>
      </c>
      <c r="K204" s="504">
        <f>SUM(K201:K203)</f>
        <v>14816.5</v>
      </c>
      <c r="L204" s="499"/>
      <c r="M204" s="504">
        <f>SUM(M201:M203)</f>
        <v>889331</v>
      </c>
      <c r="N204" s="504">
        <f>SUM(N201:N203)</f>
        <v>115806</v>
      </c>
      <c r="O204" s="504">
        <f>SUM(O201:O203)</f>
        <v>19740</v>
      </c>
      <c r="P204" s="499"/>
      <c r="Q204" s="504">
        <f>SUM(Q201:Q203)</f>
        <v>846634</v>
      </c>
      <c r="R204" s="504">
        <f>SUM(R201:R203)</f>
        <v>58596</v>
      </c>
      <c r="S204" s="504">
        <f>SUM(S201:S203)</f>
        <v>9893</v>
      </c>
      <c r="T204" s="630" t="s">
        <v>1227</v>
      </c>
    </row>
  </sheetData>
  <pageMargins left="0.5" right="0.5" top="0.5" bottom="0.5" header="0.5" footer="0.25"/>
  <pageSetup scale="48" fitToHeight="0" orientation="landscape" r:id="rId1"/>
  <headerFooter alignWithMargins="0">
    <oddFooter>&amp;C&amp;A</oddFooter>
  </headerFooter>
  <rowBreaks count="2" manualBreakCount="2">
    <brk id="75" max="21" man="1"/>
    <brk id="154" max="21" man="1"/>
  </row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autoPageBreaks="0" fitToPage="1"/>
  </sheetPr>
  <dimension ref="A1:U312"/>
  <sheetViews>
    <sheetView showOutlineSymbols="0" view="pageBreakPreview" topLeftCell="A10" zoomScale="60" zoomScaleNormal="90" workbookViewId="0">
      <pane xSplit="3" ySplit="1" topLeftCell="D81" activePane="bottomRight" state="frozen"/>
      <selection activeCell="L9" sqref="L9"/>
      <selection pane="topRight" activeCell="L9" sqref="L9"/>
      <selection pane="bottomLeft" activeCell="L9" sqref="L9"/>
      <selection pane="bottomRight" activeCell="B149" sqref="B149"/>
    </sheetView>
  </sheetViews>
  <sheetFormatPr defaultColWidth="12.6640625" defaultRowHeight="13.2"/>
  <cols>
    <col min="1" max="1" width="5.88671875" style="417" customWidth="1"/>
    <col min="2" max="2" width="48.33203125" style="408" customWidth="1"/>
    <col min="3" max="3" width="28.109375" style="418" hidden="1" customWidth="1"/>
    <col min="4" max="4" width="25.44140625" style="418" customWidth="1"/>
    <col min="5" max="5" width="31" style="418" hidden="1" customWidth="1"/>
    <col min="6" max="6" width="16.44140625" style="418" customWidth="1"/>
    <col min="7" max="7" width="18.44140625" style="418" hidden="1" customWidth="1"/>
    <col min="8" max="8" width="3" style="418" hidden="1" customWidth="1"/>
    <col min="9" max="9" width="14" style="408" hidden="1" customWidth="1"/>
    <col min="10" max="10" width="15.88671875" style="408" hidden="1" customWidth="1"/>
    <col min="11" max="11" width="15.109375" style="408" hidden="1" customWidth="1"/>
    <col min="12" max="12" width="2.88671875" style="408" hidden="1" customWidth="1"/>
    <col min="13" max="13" width="21" style="408" hidden="1" customWidth="1"/>
    <col min="14" max="14" width="20.6640625" style="408" hidden="1" customWidth="1"/>
    <col min="15" max="15" width="20.109375" style="408" hidden="1" customWidth="1"/>
    <col min="16" max="16" width="17.6640625" style="418" hidden="1" customWidth="1"/>
    <col min="17" max="17" width="17.6640625" style="418" customWidth="1"/>
    <col min="18" max="19" width="18.109375" style="418" customWidth="1"/>
    <col min="20" max="20" width="17.6640625" style="418" customWidth="1"/>
    <col min="21" max="252" width="12.6640625" style="418"/>
    <col min="253" max="253" width="5.88671875" style="418" customWidth="1"/>
    <col min="254" max="254" width="48.33203125" style="418" customWidth="1"/>
    <col min="255" max="255" width="14.109375" style="418" customWidth="1"/>
    <col min="256" max="256" width="13.5546875" style="418" customWidth="1"/>
    <col min="257" max="257" width="15.88671875" style="418" customWidth="1"/>
    <col min="258" max="258" width="16.44140625" style="418" customWidth="1"/>
    <col min="259" max="259" width="18.44140625" style="418" customWidth="1"/>
    <col min="260" max="260" width="3.109375" style="418" customWidth="1"/>
    <col min="261" max="263" width="18.44140625" style="418" customWidth="1"/>
    <col min="264" max="264" width="3" style="418" customWidth="1"/>
    <col min="265" max="265" width="14" style="418" customWidth="1"/>
    <col min="266" max="266" width="15.88671875" style="418" customWidth="1"/>
    <col min="267" max="267" width="15.109375" style="418" customWidth="1"/>
    <col min="268" max="268" width="2.88671875" style="418" customWidth="1"/>
    <col min="269" max="269" width="14.109375" style="418" customWidth="1"/>
    <col min="270" max="270" width="15.88671875" style="418" customWidth="1"/>
    <col min="271" max="271" width="19.33203125" style="418" customWidth="1"/>
    <col min="272" max="272" width="17.6640625" style="418" bestFit="1" customWidth="1"/>
    <col min="273" max="508" width="12.6640625" style="418"/>
    <col min="509" max="509" width="5.88671875" style="418" customWidth="1"/>
    <col min="510" max="510" width="48.33203125" style="418" customWidth="1"/>
    <col min="511" max="511" width="14.109375" style="418" customWidth="1"/>
    <col min="512" max="512" width="13.5546875" style="418" customWidth="1"/>
    <col min="513" max="513" width="15.88671875" style="418" customWidth="1"/>
    <col min="514" max="514" width="16.44140625" style="418" customWidth="1"/>
    <col min="515" max="515" width="18.44140625" style="418" customWidth="1"/>
    <col min="516" max="516" width="3.109375" style="418" customWidth="1"/>
    <col min="517" max="519" width="18.44140625" style="418" customWidth="1"/>
    <col min="520" max="520" width="3" style="418" customWidth="1"/>
    <col min="521" max="521" width="14" style="418" customWidth="1"/>
    <col min="522" max="522" width="15.88671875" style="418" customWidth="1"/>
    <col min="523" max="523" width="15.109375" style="418" customWidth="1"/>
    <col min="524" max="524" width="2.88671875" style="418" customWidth="1"/>
    <col min="525" max="525" width="14.109375" style="418" customWidth="1"/>
    <col min="526" max="526" width="15.88671875" style="418" customWidth="1"/>
    <col min="527" max="527" width="19.33203125" style="418" customWidth="1"/>
    <col min="528" max="528" width="17.6640625" style="418" bestFit="1" customWidth="1"/>
    <col min="529" max="764" width="12.6640625" style="418"/>
    <col min="765" max="765" width="5.88671875" style="418" customWidth="1"/>
    <col min="766" max="766" width="48.33203125" style="418" customWidth="1"/>
    <col min="767" max="767" width="14.109375" style="418" customWidth="1"/>
    <col min="768" max="768" width="13.5546875" style="418" customWidth="1"/>
    <col min="769" max="769" width="15.88671875" style="418" customWidth="1"/>
    <col min="770" max="770" width="16.44140625" style="418" customWidth="1"/>
    <col min="771" max="771" width="18.44140625" style="418" customWidth="1"/>
    <col min="772" max="772" width="3.109375" style="418" customWidth="1"/>
    <col min="773" max="775" width="18.44140625" style="418" customWidth="1"/>
    <col min="776" max="776" width="3" style="418" customWidth="1"/>
    <col min="777" max="777" width="14" style="418" customWidth="1"/>
    <col min="778" max="778" width="15.88671875" style="418" customWidth="1"/>
    <col min="779" max="779" width="15.109375" style="418" customWidth="1"/>
    <col min="780" max="780" width="2.88671875" style="418" customWidth="1"/>
    <col min="781" max="781" width="14.109375" style="418" customWidth="1"/>
    <col min="782" max="782" width="15.88671875" style="418" customWidth="1"/>
    <col min="783" max="783" width="19.33203125" style="418" customWidth="1"/>
    <col min="784" max="784" width="17.6640625" style="418" bestFit="1" customWidth="1"/>
    <col min="785" max="1020" width="12.6640625" style="418"/>
    <col min="1021" max="1021" width="5.88671875" style="418" customWidth="1"/>
    <col min="1022" max="1022" width="48.33203125" style="418" customWidth="1"/>
    <col min="1023" max="1023" width="14.109375" style="418" customWidth="1"/>
    <col min="1024" max="1024" width="13.5546875" style="418" customWidth="1"/>
    <col min="1025" max="1025" width="15.88671875" style="418" customWidth="1"/>
    <col min="1026" max="1026" width="16.44140625" style="418" customWidth="1"/>
    <col min="1027" max="1027" width="18.44140625" style="418" customWidth="1"/>
    <col min="1028" max="1028" width="3.109375" style="418" customWidth="1"/>
    <col min="1029" max="1031" width="18.44140625" style="418" customWidth="1"/>
    <col min="1032" max="1032" width="3" style="418" customWidth="1"/>
    <col min="1033" max="1033" width="14" style="418" customWidth="1"/>
    <col min="1034" max="1034" width="15.88671875" style="418" customWidth="1"/>
    <col min="1035" max="1035" width="15.109375" style="418" customWidth="1"/>
    <col min="1036" max="1036" width="2.88671875" style="418" customWidth="1"/>
    <col min="1037" max="1037" width="14.109375" style="418" customWidth="1"/>
    <col min="1038" max="1038" width="15.88671875" style="418" customWidth="1"/>
    <col min="1039" max="1039" width="19.33203125" style="418" customWidth="1"/>
    <col min="1040" max="1040" width="17.6640625" style="418" bestFit="1" customWidth="1"/>
    <col min="1041" max="1276" width="12.6640625" style="418"/>
    <col min="1277" max="1277" width="5.88671875" style="418" customWidth="1"/>
    <col min="1278" max="1278" width="48.33203125" style="418" customWidth="1"/>
    <col min="1279" max="1279" width="14.109375" style="418" customWidth="1"/>
    <col min="1280" max="1280" width="13.5546875" style="418" customWidth="1"/>
    <col min="1281" max="1281" width="15.88671875" style="418" customWidth="1"/>
    <col min="1282" max="1282" width="16.44140625" style="418" customWidth="1"/>
    <col min="1283" max="1283" width="18.44140625" style="418" customWidth="1"/>
    <col min="1284" max="1284" width="3.109375" style="418" customWidth="1"/>
    <col min="1285" max="1287" width="18.44140625" style="418" customWidth="1"/>
    <col min="1288" max="1288" width="3" style="418" customWidth="1"/>
    <col min="1289" max="1289" width="14" style="418" customWidth="1"/>
    <col min="1290" max="1290" width="15.88671875" style="418" customWidth="1"/>
    <col min="1291" max="1291" width="15.109375" style="418" customWidth="1"/>
    <col min="1292" max="1292" width="2.88671875" style="418" customWidth="1"/>
    <col min="1293" max="1293" width="14.109375" style="418" customWidth="1"/>
    <col min="1294" max="1294" width="15.88671875" style="418" customWidth="1"/>
    <col min="1295" max="1295" width="19.33203125" style="418" customWidth="1"/>
    <col min="1296" max="1296" width="17.6640625" style="418" bestFit="1" customWidth="1"/>
    <col min="1297" max="1532" width="12.6640625" style="418"/>
    <col min="1533" max="1533" width="5.88671875" style="418" customWidth="1"/>
    <col min="1534" max="1534" width="48.33203125" style="418" customWidth="1"/>
    <col min="1535" max="1535" width="14.109375" style="418" customWidth="1"/>
    <col min="1536" max="1536" width="13.5546875" style="418" customWidth="1"/>
    <col min="1537" max="1537" width="15.88671875" style="418" customWidth="1"/>
    <col min="1538" max="1538" width="16.44140625" style="418" customWidth="1"/>
    <col min="1539" max="1539" width="18.44140625" style="418" customWidth="1"/>
    <col min="1540" max="1540" width="3.109375" style="418" customWidth="1"/>
    <col min="1541" max="1543" width="18.44140625" style="418" customWidth="1"/>
    <col min="1544" max="1544" width="3" style="418" customWidth="1"/>
    <col min="1545" max="1545" width="14" style="418" customWidth="1"/>
    <col min="1546" max="1546" width="15.88671875" style="418" customWidth="1"/>
    <col min="1547" max="1547" width="15.109375" style="418" customWidth="1"/>
    <col min="1548" max="1548" width="2.88671875" style="418" customWidth="1"/>
    <col min="1549" max="1549" width="14.109375" style="418" customWidth="1"/>
    <col min="1550" max="1550" width="15.88671875" style="418" customWidth="1"/>
    <col min="1551" max="1551" width="19.33203125" style="418" customWidth="1"/>
    <col min="1552" max="1552" width="17.6640625" style="418" bestFit="1" customWidth="1"/>
    <col min="1553" max="1788" width="12.6640625" style="418"/>
    <col min="1789" max="1789" width="5.88671875" style="418" customWidth="1"/>
    <col min="1790" max="1790" width="48.33203125" style="418" customWidth="1"/>
    <col min="1791" max="1791" width="14.109375" style="418" customWidth="1"/>
    <col min="1792" max="1792" width="13.5546875" style="418" customWidth="1"/>
    <col min="1793" max="1793" width="15.88671875" style="418" customWidth="1"/>
    <col min="1794" max="1794" width="16.44140625" style="418" customWidth="1"/>
    <col min="1795" max="1795" width="18.44140625" style="418" customWidth="1"/>
    <col min="1796" max="1796" width="3.109375" style="418" customWidth="1"/>
    <col min="1797" max="1799" width="18.44140625" style="418" customWidth="1"/>
    <col min="1800" max="1800" width="3" style="418" customWidth="1"/>
    <col min="1801" max="1801" width="14" style="418" customWidth="1"/>
    <col min="1802" max="1802" width="15.88671875" style="418" customWidth="1"/>
    <col min="1803" max="1803" width="15.109375" style="418" customWidth="1"/>
    <col min="1804" max="1804" width="2.88671875" style="418" customWidth="1"/>
    <col min="1805" max="1805" width="14.109375" style="418" customWidth="1"/>
    <col min="1806" max="1806" width="15.88671875" style="418" customWidth="1"/>
    <col min="1807" max="1807" width="19.33203125" style="418" customWidth="1"/>
    <col min="1808" max="1808" width="17.6640625" style="418" bestFit="1" customWidth="1"/>
    <col min="1809" max="2044" width="12.6640625" style="418"/>
    <col min="2045" max="2045" width="5.88671875" style="418" customWidth="1"/>
    <col min="2046" max="2046" width="48.33203125" style="418" customWidth="1"/>
    <col min="2047" max="2047" width="14.109375" style="418" customWidth="1"/>
    <col min="2048" max="2048" width="13.5546875" style="418" customWidth="1"/>
    <col min="2049" max="2049" width="15.88671875" style="418" customWidth="1"/>
    <col min="2050" max="2050" width="16.44140625" style="418" customWidth="1"/>
    <col min="2051" max="2051" width="18.44140625" style="418" customWidth="1"/>
    <col min="2052" max="2052" width="3.109375" style="418" customWidth="1"/>
    <col min="2053" max="2055" width="18.44140625" style="418" customWidth="1"/>
    <col min="2056" max="2056" width="3" style="418" customWidth="1"/>
    <col min="2057" max="2057" width="14" style="418" customWidth="1"/>
    <col min="2058" max="2058" width="15.88671875" style="418" customWidth="1"/>
    <col min="2059" max="2059" width="15.109375" style="418" customWidth="1"/>
    <col min="2060" max="2060" width="2.88671875" style="418" customWidth="1"/>
    <col min="2061" max="2061" width="14.109375" style="418" customWidth="1"/>
    <col min="2062" max="2062" width="15.88671875" style="418" customWidth="1"/>
    <col min="2063" max="2063" width="19.33203125" style="418" customWidth="1"/>
    <col min="2064" max="2064" width="17.6640625" style="418" bestFit="1" customWidth="1"/>
    <col min="2065" max="2300" width="12.6640625" style="418"/>
    <col min="2301" max="2301" width="5.88671875" style="418" customWidth="1"/>
    <col min="2302" max="2302" width="48.33203125" style="418" customWidth="1"/>
    <col min="2303" max="2303" width="14.109375" style="418" customWidth="1"/>
    <col min="2304" max="2304" width="13.5546875" style="418" customWidth="1"/>
    <col min="2305" max="2305" width="15.88671875" style="418" customWidth="1"/>
    <col min="2306" max="2306" width="16.44140625" style="418" customWidth="1"/>
    <col min="2307" max="2307" width="18.44140625" style="418" customWidth="1"/>
    <col min="2308" max="2308" width="3.109375" style="418" customWidth="1"/>
    <col min="2309" max="2311" width="18.44140625" style="418" customWidth="1"/>
    <col min="2312" max="2312" width="3" style="418" customWidth="1"/>
    <col min="2313" max="2313" width="14" style="418" customWidth="1"/>
    <col min="2314" max="2314" width="15.88671875" style="418" customWidth="1"/>
    <col min="2315" max="2315" width="15.109375" style="418" customWidth="1"/>
    <col min="2316" max="2316" width="2.88671875" style="418" customWidth="1"/>
    <col min="2317" max="2317" width="14.109375" style="418" customWidth="1"/>
    <col min="2318" max="2318" width="15.88671875" style="418" customWidth="1"/>
    <col min="2319" max="2319" width="19.33203125" style="418" customWidth="1"/>
    <col min="2320" max="2320" width="17.6640625" style="418" bestFit="1" customWidth="1"/>
    <col min="2321" max="2556" width="12.6640625" style="418"/>
    <col min="2557" max="2557" width="5.88671875" style="418" customWidth="1"/>
    <col min="2558" max="2558" width="48.33203125" style="418" customWidth="1"/>
    <col min="2559" max="2559" width="14.109375" style="418" customWidth="1"/>
    <col min="2560" max="2560" width="13.5546875" style="418" customWidth="1"/>
    <col min="2561" max="2561" width="15.88671875" style="418" customWidth="1"/>
    <col min="2562" max="2562" width="16.44140625" style="418" customWidth="1"/>
    <col min="2563" max="2563" width="18.44140625" style="418" customWidth="1"/>
    <col min="2564" max="2564" width="3.109375" style="418" customWidth="1"/>
    <col min="2565" max="2567" width="18.44140625" style="418" customWidth="1"/>
    <col min="2568" max="2568" width="3" style="418" customWidth="1"/>
    <col min="2569" max="2569" width="14" style="418" customWidth="1"/>
    <col min="2570" max="2570" width="15.88671875" style="418" customWidth="1"/>
    <col min="2571" max="2571" width="15.109375" style="418" customWidth="1"/>
    <col min="2572" max="2572" width="2.88671875" style="418" customWidth="1"/>
    <col min="2573" max="2573" width="14.109375" style="418" customWidth="1"/>
    <col min="2574" max="2574" width="15.88671875" style="418" customWidth="1"/>
    <col min="2575" max="2575" width="19.33203125" style="418" customWidth="1"/>
    <col min="2576" max="2576" width="17.6640625" style="418" bestFit="1" customWidth="1"/>
    <col min="2577" max="2812" width="12.6640625" style="418"/>
    <col min="2813" max="2813" width="5.88671875" style="418" customWidth="1"/>
    <col min="2814" max="2814" width="48.33203125" style="418" customWidth="1"/>
    <col min="2815" max="2815" width="14.109375" style="418" customWidth="1"/>
    <col min="2816" max="2816" width="13.5546875" style="418" customWidth="1"/>
    <col min="2817" max="2817" width="15.88671875" style="418" customWidth="1"/>
    <col min="2818" max="2818" width="16.44140625" style="418" customWidth="1"/>
    <col min="2819" max="2819" width="18.44140625" style="418" customWidth="1"/>
    <col min="2820" max="2820" width="3.109375" style="418" customWidth="1"/>
    <col min="2821" max="2823" width="18.44140625" style="418" customWidth="1"/>
    <col min="2824" max="2824" width="3" style="418" customWidth="1"/>
    <col min="2825" max="2825" width="14" style="418" customWidth="1"/>
    <col min="2826" max="2826" width="15.88671875" style="418" customWidth="1"/>
    <col min="2827" max="2827" width="15.109375" style="418" customWidth="1"/>
    <col min="2828" max="2828" width="2.88671875" style="418" customWidth="1"/>
    <col min="2829" max="2829" width="14.109375" style="418" customWidth="1"/>
    <col min="2830" max="2830" width="15.88671875" style="418" customWidth="1"/>
    <col min="2831" max="2831" width="19.33203125" style="418" customWidth="1"/>
    <col min="2832" max="2832" width="17.6640625" style="418" bestFit="1" customWidth="1"/>
    <col min="2833" max="3068" width="12.6640625" style="418"/>
    <col min="3069" max="3069" width="5.88671875" style="418" customWidth="1"/>
    <col min="3070" max="3070" width="48.33203125" style="418" customWidth="1"/>
    <col min="3071" max="3071" width="14.109375" style="418" customWidth="1"/>
    <col min="3072" max="3072" width="13.5546875" style="418" customWidth="1"/>
    <col min="3073" max="3073" width="15.88671875" style="418" customWidth="1"/>
    <col min="3074" max="3074" width="16.44140625" style="418" customWidth="1"/>
    <col min="3075" max="3075" width="18.44140625" style="418" customWidth="1"/>
    <col min="3076" max="3076" width="3.109375" style="418" customWidth="1"/>
    <col min="3077" max="3079" width="18.44140625" style="418" customWidth="1"/>
    <col min="3080" max="3080" width="3" style="418" customWidth="1"/>
    <col min="3081" max="3081" width="14" style="418" customWidth="1"/>
    <col min="3082" max="3082" width="15.88671875" style="418" customWidth="1"/>
    <col min="3083" max="3083" width="15.109375" style="418" customWidth="1"/>
    <col min="3084" max="3084" width="2.88671875" style="418" customWidth="1"/>
    <col min="3085" max="3085" width="14.109375" style="418" customWidth="1"/>
    <col min="3086" max="3086" width="15.88671875" style="418" customWidth="1"/>
    <col min="3087" max="3087" width="19.33203125" style="418" customWidth="1"/>
    <col min="3088" max="3088" width="17.6640625" style="418" bestFit="1" customWidth="1"/>
    <col min="3089" max="3324" width="12.6640625" style="418"/>
    <col min="3325" max="3325" width="5.88671875" style="418" customWidth="1"/>
    <col min="3326" max="3326" width="48.33203125" style="418" customWidth="1"/>
    <col min="3327" max="3327" width="14.109375" style="418" customWidth="1"/>
    <col min="3328" max="3328" width="13.5546875" style="418" customWidth="1"/>
    <col min="3329" max="3329" width="15.88671875" style="418" customWidth="1"/>
    <col min="3330" max="3330" width="16.44140625" style="418" customWidth="1"/>
    <col min="3331" max="3331" width="18.44140625" style="418" customWidth="1"/>
    <col min="3332" max="3332" width="3.109375" style="418" customWidth="1"/>
    <col min="3333" max="3335" width="18.44140625" style="418" customWidth="1"/>
    <col min="3336" max="3336" width="3" style="418" customWidth="1"/>
    <col min="3337" max="3337" width="14" style="418" customWidth="1"/>
    <col min="3338" max="3338" width="15.88671875" style="418" customWidth="1"/>
    <col min="3339" max="3339" width="15.109375" style="418" customWidth="1"/>
    <col min="3340" max="3340" width="2.88671875" style="418" customWidth="1"/>
    <col min="3341" max="3341" width="14.109375" style="418" customWidth="1"/>
    <col min="3342" max="3342" width="15.88671875" style="418" customWidth="1"/>
    <col min="3343" max="3343" width="19.33203125" style="418" customWidth="1"/>
    <col min="3344" max="3344" width="17.6640625" style="418" bestFit="1" customWidth="1"/>
    <col min="3345" max="3580" width="12.6640625" style="418"/>
    <col min="3581" max="3581" width="5.88671875" style="418" customWidth="1"/>
    <col min="3582" max="3582" width="48.33203125" style="418" customWidth="1"/>
    <col min="3583" max="3583" width="14.109375" style="418" customWidth="1"/>
    <col min="3584" max="3584" width="13.5546875" style="418" customWidth="1"/>
    <col min="3585" max="3585" width="15.88671875" style="418" customWidth="1"/>
    <col min="3586" max="3586" width="16.44140625" style="418" customWidth="1"/>
    <col min="3587" max="3587" width="18.44140625" style="418" customWidth="1"/>
    <col min="3588" max="3588" width="3.109375" style="418" customWidth="1"/>
    <col min="3589" max="3591" width="18.44140625" style="418" customWidth="1"/>
    <col min="3592" max="3592" width="3" style="418" customWidth="1"/>
    <col min="3593" max="3593" width="14" style="418" customWidth="1"/>
    <col min="3594" max="3594" width="15.88671875" style="418" customWidth="1"/>
    <col min="3595" max="3595" width="15.109375" style="418" customWidth="1"/>
    <col min="3596" max="3596" width="2.88671875" style="418" customWidth="1"/>
    <col min="3597" max="3597" width="14.109375" style="418" customWidth="1"/>
    <col min="3598" max="3598" width="15.88671875" style="418" customWidth="1"/>
    <col min="3599" max="3599" width="19.33203125" style="418" customWidth="1"/>
    <col min="3600" max="3600" width="17.6640625" style="418" bestFit="1" customWidth="1"/>
    <col min="3601" max="3836" width="12.6640625" style="418"/>
    <col min="3837" max="3837" width="5.88671875" style="418" customWidth="1"/>
    <col min="3838" max="3838" width="48.33203125" style="418" customWidth="1"/>
    <col min="3839" max="3839" width="14.109375" style="418" customWidth="1"/>
    <col min="3840" max="3840" width="13.5546875" style="418" customWidth="1"/>
    <col min="3841" max="3841" width="15.88671875" style="418" customWidth="1"/>
    <col min="3842" max="3842" width="16.44140625" style="418" customWidth="1"/>
    <col min="3843" max="3843" width="18.44140625" style="418" customWidth="1"/>
    <col min="3844" max="3844" width="3.109375" style="418" customWidth="1"/>
    <col min="3845" max="3847" width="18.44140625" style="418" customWidth="1"/>
    <col min="3848" max="3848" width="3" style="418" customWidth="1"/>
    <col min="3849" max="3849" width="14" style="418" customWidth="1"/>
    <col min="3850" max="3850" width="15.88671875" style="418" customWidth="1"/>
    <col min="3851" max="3851" width="15.109375" style="418" customWidth="1"/>
    <col min="3852" max="3852" width="2.88671875" style="418" customWidth="1"/>
    <col min="3853" max="3853" width="14.109375" style="418" customWidth="1"/>
    <col min="3854" max="3854" width="15.88671875" style="418" customWidth="1"/>
    <col min="3855" max="3855" width="19.33203125" style="418" customWidth="1"/>
    <col min="3856" max="3856" width="17.6640625" style="418" bestFit="1" customWidth="1"/>
    <col min="3857" max="4092" width="12.6640625" style="418"/>
    <col min="4093" max="4093" width="5.88671875" style="418" customWidth="1"/>
    <col min="4094" max="4094" width="48.33203125" style="418" customWidth="1"/>
    <col min="4095" max="4095" width="14.109375" style="418" customWidth="1"/>
    <col min="4096" max="4096" width="13.5546875" style="418" customWidth="1"/>
    <col min="4097" max="4097" width="15.88671875" style="418" customWidth="1"/>
    <col min="4098" max="4098" width="16.44140625" style="418" customWidth="1"/>
    <col min="4099" max="4099" width="18.44140625" style="418" customWidth="1"/>
    <col min="4100" max="4100" width="3.109375" style="418" customWidth="1"/>
    <col min="4101" max="4103" width="18.44140625" style="418" customWidth="1"/>
    <col min="4104" max="4104" width="3" style="418" customWidth="1"/>
    <col min="4105" max="4105" width="14" style="418" customWidth="1"/>
    <col min="4106" max="4106" width="15.88671875" style="418" customWidth="1"/>
    <col min="4107" max="4107" width="15.109375" style="418" customWidth="1"/>
    <col min="4108" max="4108" width="2.88671875" style="418" customWidth="1"/>
    <col min="4109" max="4109" width="14.109375" style="418" customWidth="1"/>
    <col min="4110" max="4110" width="15.88671875" style="418" customWidth="1"/>
    <col min="4111" max="4111" width="19.33203125" style="418" customWidth="1"/>
    <col min="4112" max="4112" width="17.6640625" style="418" bestFit="1" customWidth="1"/>
    <col min="4113" max="4348" width="12.6640625" style="418"/>
    <col min="4349" max="4349" width="5.88671875" style="418" customWidth="1"/>
    <col min="4350" max="4350" width="48.33203125" style="418" customWidth="1"/>
    <col min="4351" max="4351" width="14.109375" style="418" customWidth="1"/>
    <col min="4352" max="4352" width="13.5546875" style="418" customWidth="1"/>
    <col min="4353" max="4353" width="15.88671875" style="418" customWidth="1"/>
    <col min="4354" max="4354" width="16.44140625" style="418" customWidth="1"/>
    <col min="4355" max="4355" width="18.44140625" style="418" customWidth="1"/>
    <col min="4356" max="4356" width="3.109375" style="418" customWidth="1"/>
    <col min="4357" max="4359" width="18.44140625" style="418" customWidth="1"/>
    <col min="4360" max="4360" width="3" style="418" customWidth="1"/>
    <col min="4361" max="4361" width="14" style="418" customWidth="1"/>
    <col min="4362" max="4362" width="15.88671875" style="418" customWidth="1"/>
    <col min="4363" max="4363" width="15.109375" style="418" customWidth="1"/>
    <col min="4364" max="4364" width="2.88671875" style="418" customWidth="1"/>
    <col min="4365" max="4365" width="14.109375" style="418" customWidth="1"/>
    <col min="4366" max="4366" width="15.88671875" style="418" customWidth="1"/>
    <col min="4367" max="4367" width="19.33203125" style="418" customWidth="1"/>
    <col min="4368" max="4368" width="17.6640625" style="418" bestFit="1" customWidth="1"/>
    <col min="4369" max="4604" width="12.6640625" style="418"/>
    <col min="4605" max="4605" width="5.88671875" style="418" customWidth="1"/>
    <col min="4606" max="4606" width="48.33203125" style="418" customWidth="1"/>
    <col min="4607" max="4607" width="14.109375" style="418" customWidth="1"/>
    <col min="4608" max="4608" width="13.5546875" style="418" customWidth="1"/>
    <col min="4609" max="4609" width="15.88671875" style="418" customWidth="1"/>
    <col min="4610" max="4610" width="16.44140625" style="418" customWidth="1"/>
    <col min="4611" max="4611" width="18.44140625" style="418" customWidth="1"/>
    <col min="4612" max="4612" width="3.109375" style="418" customWidth="1"/>
    <col min="4613" max="4615" width="18.44140625" style="418" customWidth="1"/>
    <col min="4616" max="4616" width="3" style="418" customWidth="1"/>
    <col min="4617" max="4617" width="14" style="418" customWidth="1"/>
    <col min="4618" max="4618" width="15.88671875" style="418" customWidth="1"/>
    <col min="4619" max="4619" width="15.109375" style="418" customWidth="1"/>
    <col min="4620" max="4620" width="2.88671875" style="418" customWidth="1"/>
    <col min="4621" max="4621" width="14.109375" style="418" customWidth="1"/>
    <col min="4622" max="4622" width="15.88671875" style="418" customWidth="1"/>
    <col min="4623" max="4623" width="19.33203125" style="418" customWidth="1"/>
    <col min="4624" max="4624" width="17.6640625" style="418" bestFit="1" customWidth="1"/>
    <col min="4625" max="4860" width="12.6640625" style="418"/>
    <col min="4861" max="4861" width="5.88671875" style="418" customWidth="1"/>
    <col min="4862" max="4862" width="48.33203125" style="418" customWidth="1"/>
    <col min="4863" max="4863" width="14.109375" style="418" customWidth="1"/>
    <col min="4864" max="4864" width="13.5546875" style="418" customWidth="1"/>
    <col min="4865" max="4865" width="15.88671875" style="418" customWidth="1"/>
    <col min="4866" max="4866" width="16.44140625" style="418" customWidth="1"/>
    <col min="4867" max="4867" width="18.44140625" style="418" customWidth="1"/>
    <col min="4868" max="4868" width="3.109375" style="418" customWidth="1"/>
    <col min="4869" max="4871" width="18.44140625" style="418" customWidth="1"/>
    <col min="4872" max="4872" width="3" style="418" customWidth="1"/>
    <col min="4873" max="4873" width="14" style="418" customWidth="1"/>
    <col min="4874" max="4874" width="15.88671875" style="418" customWidth="1"/>
    <col min="4875" max="4875" width="15.109375" style="418" customWidth="1"/>
    <col min="4876" max="4876" width="2.88671875" style="418" customWidth="1"/>
    <col min="4877" max="4877" width="14.109375" style="418" customWidth="1"/>
    <col min="4878" max="4878" width="15.88671875" style="418" customWidth="1"/>
    <col min="4879" max="4879" width="19.33203125" style="418" customWidth="1"/>
    <col min="4880" max="4880" width="17.6640625" style="418" bestFit="1" customWidth="1"/>
    <col min="4881" max="5116" width="12.6640625" style="418"/>
    <col min="5117" max="5117" width="5.88671875" style="418" customWidth="1"/>
    <col min="5118" max="5118" width="48.33203125" style="418" customWidth="1"/>
    <col min="5119" max="5119" width="14.109375" style="418" customWidth="1"/>
    <col min="5120" max="5120" width="13.5546875" style="418" customWidth="1"/>
    <col min="5121" max="5121" width="15.88671875" style="418" customWidth="1"/>
    <col min="5122" max="5122" width="16.44140625" style="418" customWidth="1"/>
    <col min="5123" max="5123" width="18.44140625" style="418" customWidth="1"/>
    <col min="5124" max="5124" width="3.109375" style="418" customWidth="1"/>
    <col min="5125" max="5127" width="18.44140625" style="418" customWidth="1"/>
    <col min="5128" max="5128" width="3" style="418" customWidth="1"/>
    <col min="5129" max="5129" width="14" style="418" customWidth="1"/>
    <col min="5130" max="5130" width="15.88671875" style="418" customWidth="1"/>
    <col min="5131" max="5131" width="15.109375" style="418" customWidth="1"/>
    <col min="5132" max="5132" width="2.88671875" style="418" customWidth="1"/>
    <col min="5133" max="5133" width="14.109375" style="418" customWidth="1"/>
    <col min="5134" max="5134" width="15.88671875" style="418" customWidth="1"/>
    <col min="5135" max="5135" width="19.33203125" style="418" customWidth="1"/>
    <col min="5136" max="5136" width="17.6640625" style="418" bestFit="1" customWidth="1"/>
    <col min="5137" max="5372" width="12.6640625" style="418"/>
    <col min="5373" max="5373" width="5.88671875" style="418" customWidth="1"/>
    <col min="5374" max="5374" width="48.33203125" style="418" customWidth="1"/>
    <col min="5375" max="5375" width="14.109375" style="418" customWidth="1"/>
    <col min="5376" max="5376" width="13.5546875" style="418" customWidth="1"/>
    <col min="5377" max="5377" width="15.88671875" style="418" customWidth="1"/>
    <col min="5378" max="5378" width="16.44140625" style="418" customWidth="1"/>
    <col min="5379" max="5379" width="18.44140625" style="418" customWidth="1"/>
    <col min="5380" max="5380" width="3.109375" style="418" customWidth="1"/>
    <col min="5381" max="5383" width="18.44140625" style="418" customWidth="1"/>
    <col min="5384" max="5384" width="3" style="418" customWidth="1"/>
    <col min="5385" max="5385" width="14" style="418" customWidth="1"/>
    <col min="5386" max="5386" width="15.88671875" style="418" customWidth="1"/>
    <col min="5387" max="5387" width="15.109375" style="418" customWidth="1"/>
    <col min="5388" max="5388" width="2.88671875" style="418" customWidth="1"/>
    <col min="5389" max="5389" width="14.109375" style="418" customWidth="1"/>
    <col min="5390" max="5390" width="15.88671875" style="418" customWidth="1"/>
    <col min="5391" max="5391" width="19.33203125" style="418" customWidth="1"/>
    <col min="5392" max="5392" width="17.6640625" style="418" bestFit="1" customWidth="1"/>
    <col min="5393" max="5628" width="12.6640625" style="418"/>
    <col min="5629" max="5629" width="5.88671875" style="418" customWidth="1"/>
    <col min="5630" max="5630" width="48.33203125" style="418" customWidth="1"/>
    <col min="5631" max="5631" width="14.109375" style="418" customWidth="1"/>
    <col min="5632" max="5632" width="13.5546875" style="418" customWidth="1"/>
    <col min="5633" max="5633" width="15.88671875" style="418" customWidth="1"/>
    <col min="5634" max="5634" width="16.44140625" style="418" customWidth="1"/>
    <col min="5635" max="5635" width="18.44140625" style="418" customWidth="1"/>
    <col min="5636" max="5636" width="3.109375" style="418" customWidth="1"/>
    <col min="5637" max="5639" width="18.44140625" style="418" customWidth="1"/>
    <col min="5640" max="5640" width="3" style="418" customWidth="1"/>
    <col min="5641" max="5641" width="14" style="418" customWidth="1"/>
    <col min="5642" max="5642" width="15.88671875" style="418" customWidth="1"/>
    <col min="5643" max="5643" width="15.109375" style="418" customWidth="1"/>
    <col min="5644" max="5644" width="2.88671875" style="418" customWidth="1"/>
    <col min="5645" max="5645" width="14.109375" style="418" customWidth="1"/>
    <col min="5646" max="5646" width="15.88671875" style="418" customWidth="1"/>
    <col min="5647" max="5647" width="19.33203125" style="418" customWidth="1"/>
    <col min="5648" max="5648" width="17.6640625" style="418" bestFit="1" customWidth="1"/>
    <col min="5649" max="5884" width="12.6640625" style="418"/>
    <col min="5885" max="5885" width="5.88671875" style="418" customWidth="1"/>
    <col min="5886" max="5886" width="48.33203125" style="418" customWidth="1"/>
    <col min="5887" max="5887" width="14.109375" style="418" customWidth="1"/>
    <col min="5888" max="5888" width="13.5546875" style="418" customWidth="1"/>
    <col min="5889" max="5889" width="15.88671875" style="418" customWidth="1"/>
    <col min="5890" max="5890" width="16.44140625" style="418" customWidth="1"/>
    <col min="5891" max="5891" width="18.44140625" style="418" customWidth="1"/>
    <col min="5892" max="5892" width="3.109375" style="418" customWidth="1"/>
    <col min="5893" max="5895" width="18.44140625" style="418" customWidth="1"/>
    <col min="5896" max="5896" width="3" style="418" customWidth="1"/>
    <col min="5897" max="5897" width="14" style="418" customWidth="1"/>
    <col min="5898" max="5898" width="15.88671875" style="418" customWidth="1"/>
    <col min="5899" max="5899" width="15.109375" style="418" customWidth="1"/>
    <col min="5900" max="5900" width="2.88671875" style="418" customWidth="1"/>
    <col min="5901" max="5901" width="14.109375" style="418" customWidth="1"/>
    <col min="5902" max="5902" width="15.88671875" style="418" customWidth="1"/>
    <col min="5903" max="5903" width="19.33203125" style="418" customWidth="1"/>
    <col min="5904" max="5904" width="17.6640625" style="418" bestFit="1" customWidth="1"/>
    <col min="5905" max="6140" width="12.6640625" style="418"/>
    <col min="6141" max="6141" width="5.88671875" style="418" customWidth="1"/>
    <col min="6142" max="6142" width="48.33203125" style="418" customWidth="1"/>
    <col min="6143" max="6143" width="14.109375" style="418" customWidth="1"/>
    <col min="6144" max="6144" width="13.5546875" style="418" customWidth="1"/>
    <col min="6145" max="6145" width="15.88671875" style="418" customWidth="1"/>
    <col min="6146" max="6146" width="16.44140625" style="418" customWidth="1"/>
    <col min="6147" max="6147" width="18.44140625" style="418" customWidth="1"/>
    <col min="6148" max="6148" width="3.109375" style="418" customWidth="1"/>
    <col min="6149" max="6151" width="18.44140625" style="418" customWidth="1"/>
    <col min="6152" max="6152" width="3" style="418" customWidth="1"/>
    <col min="6153" max="6153" width="14" style="418" customWidth="1"/>
    <col min="6154" max="6154" width="15.88671875" style="418" customWidth="1"/>
    <col min="6155" max="6155" width="15.109375" style="418" customWidth="1"/>
    <col min="6156" max="6156" width="2.88671875" style="418" customWidth="1"/>
    <col min="6157" max="6157" width="14.109375" style="418" customWidth="1"/>
    <col min="6158" max="6158" width="15.88671875" style="418" customWidth="1"/>
    <col min="6159" max="6159" width="19.33203125" style="418" customWidth="1"/>
    <col min="6160" max="6160" width="17.6640625" style="418" bestFit="1" customWidth="1"/>
    <col min="6161" max="6396" width="12.6640625" style="418"/>
    <col min="6397" max="6397" width="5.88671875" style="418" customWidth="1"/>
    <col min="6398" max="6398" width="48.33203125" style="418" customWidth="1"/>
    <col min="6399" max="6399" width="14.109375" style="418" customWidth="1"/>
    <col min="6400" max="6400" width="13.5546875" style="418" customWidth="1"/>
    <col min="6401" max="6401" width="15.88671875" style="418" customWidth="1"/>
    <col min="6402" max="6402" width="16.44140625" style="418" customWidth="1"/>
    <col min="6403" max="6403" width="18.44140625" style="418" customWidth="1"/>
    <col min="6404" max="6404" width="3.109375" style="418" customWidth="1"/>
    <col min="6405" max="6407" width="18.44140625" style="418" customWidth="1"/>
    <col min="6408" max="6408" width="3" style="418" customWidth="1"/>
    <col min="6409" max="6409" width="14" style="418" customWidth="1"/>
    <col min="6410" max="6410" width="15.88671875" style="418" customWidth="1"/>
    <col min="6411" max="6411" width="15.109375" style="418" customWidth="1"/>
    <col min="6412" max="6412" width="2.88671875" style="418" customWidth="1"/>
    <col min="6413" max="6413" width="14.109375" style="418" customWidth="1"/>
    <col min="6414" max="6414" width="15.88671875" style="418" customWidth="1"/>
    <col min="6415" max="6415" width="19.33203125" style="418" customWidth="1"/>
    <col min="6416" max="6416" width="17.6640625" style="418" bestFit="1" customWidth="1"/>
    <col min="6417" max="6652" width="12.6640625" style="418"/>
    <col min="6653" max="6653" width="5.88671875" style="418" customWidth="1"/>
    <col min="6654" max="6654" width="48.33203125" style="418" customWidth="1"/>
    <col min="6655" max="6655" width="14.109375" style="418" customWidth="1"/>
    <col min="6656" max="6656" width="13.5546875" style="418" customWidth="1"/>
    <col min="6657" max="6657" width="15.88671875" style="418" customWidth="1"/>
    <col min="6658" max="6658" width="16.44140625" style="418" customWidth="1"/>
    <col min="6659" max="6659" width="18.44140625" style="418" customWidth="1"/>
    <col min="6660" max="6660" width="3.109375" style="418" customWidth="1"/>
    <col min="6661" max="6663" width="18.44140625" style="418" customWidth="1"/>
    <col min="6664" max="6664" width="3" style="418" customWidth="1"/>
    <col min="6665" max="6665" width="14" style="418" customWidth="1"/>
    <col min="6666" max="6666" width="15.88671875" style="418" customWidth="1"/>
    <col min="6667" max="6667" width="15.109375" style="418" customWidth="1"/>
    <col min="6668" max="6668" width="2.88671875" style="418" customWidth="1"/>
    <col min="6669" max="6669" width="14.109375" style="418" customWidth="1"/>
    <col min="6670" max="6670" width="15.88671875" style="418" customWidth="1"/>
    <col min="6671" max="6671" width="19.33203125" style="418" customWidth="1"/>
    <col min="6672" max="6672" width="17.6640625" style="418" bestFit="1" customWidth="1"/>
    <col min="6673" max="6908" width="12.6640625" style="418"/>
    <col min="6909" max="6909" width="5.88671875" style="418" customWidth="1"/>
    <col min="6910" max="6910" width="48.33203125" style="418" customWidth="1"/>
    <col min="6911" max="6911" width="14.109375" style="418" customWidth="1"/>
    <col min="6912" max="6912" width="13.5546875" style="418" customWidth="1"/>
    <col min="6913" max="6913" width="15.88671875" style="418" customWidth="1"/>
    <col min="6914" max="6914" width="16.44140625" style="418" customWidth="1"/>
    <col min="6915" max="6915" width="18.44140625" style="418" customWidth="1"/>
    <col min="6916" max="6916" width="3.109375" style="418" customWidth="1"/>
    <col min="6917" max="6919" width="18.44140625" style="418" customWidth="1"/>
    <col min="6920" max="6920" width="3" style="418" customWidth="1"/>
    <col min="6921" max="6921" width="14" style="418" customWidth="1"/>
    <col min="6922" max="6922" width="15.88671875" style="418" customWidth="1"/>
    <col min="6923" max="6923" width="15.109375" style="418" customWidth="1"/>
    <col min="6924" max="6924" width="2.88671875" style="418" customWidth="1"/>
    <col min="6925" max="6925" width="14.109375" style="418" customWidth="1"/>
    <col min="6926" max="6926" width="15.88671875" style="418" customWidth="1"/>
    <col min="6927" max="6927" width="19.33203125" style="418" customWidth="1"/>
    <col min="6928" max="6928" width="17.6640625" style="418" bestFit="1" customWidth="1"/>
    <col min="6929" max="7164" width="12.6640625" style="418"/>
    <col min="7165" max="7165" width="5.88671875" style="418" customWidth="1"/>
    <col min="7166" max="7166" width="48.33203125" style="418" customWidth="1"/>
    <col min="7167" max="7167" width="14.109375" style="418" customWidth="1"/>
    <col min="7168" max="7168" width="13.5546875" style="418" customWidth="1"/>
    <col min="7169" max="7169" width="15.88671875" style="418" customWidth="1"/>
    <col min="7170" max="7170" width="16.44140625" style="418" customWidth="1"/>
    <col min="7171" max="7171" width="18.44140625" style="418" customWidth="1"/>
    <col min="7172" max="7172" width="3.109375" style="418" customWidth="1"/>
    <col min="7173" max="7175" width="18.44140625" style="418" customWidth="1"/>
    <col min="7176" max="7176" width="3" style="418" customWidth="1"/>
    <col min="7177" max="7177" width="14" style="418" customWidth="1"/>
    <col min="7178" max="7178" width="15.88671875" style="418" customWidth="1"/>
    <col min="7179" max="7179" width="15.109375" style="418" customWidth="1"/>
    <col min="7180" max="7180" width="2.88671875" style="418" customWidth="1"/>
    <col min="7181" max="7181" width="14.109375" style="418" customWidth="1"/>
    <col min="7182" max="7182" width="15.88671875" style="418" customWidth="1"/>
    <col min="7183" max="7183" width="19.33203125" style="418" customWidth="1"/>
    <col min="7184" max="7184" width="17.6640625" style="418" bestFit="1" customWidth="1"/>
    <col min="7185" max="7420" width="12.6640625" style="418"/>
    <col min="7421" max="7421" width="5.88671875" style="418" customWidth="1"/>
    <col min="7422" max="7422" width="48.33203125" style="418" customWidth="1"/>
    <col min="7423" max="7423" width="14.109375" style="418" customWidth="1"/>
    <col min="7424" max="7424" width="13.5546875" style="418" customWidth="1"/>
    <col min="7425" max="7425" width="15.88671875" style="418" customWidth="1"/>
    <col min="7426" max="7426" width="16.44140625" style="418" customWidth="1"/>
    <col min="7427" max="7427" width="18.44140625" style="418" customWidth="1"/>
    <col min="7428" max="7428" width="3.109375" style="418" customWidth="1"/>
    <col min="7429" max="7431" width="18.44140625" style="418" customWidth="1"/>
    <col min="7432" max="7432" width="3" style="418" customWidth="1"/>
    <col min="7433" max="7433" width="14" style="418" customWidth="1"/>
    <col min="7434" max="7434" width="15.88671875" style="418" customWidth="1"/>
    <col min="7435" max="7435" width="15.109375" style="418" customWidth="1"/>
    <col min="7436" max="7436" width="2.88671875" style="418" customWidth="1"/>
    <col min="7437" max="7437" width="14.109375" style="418" customWidth="1"/>
    <col min="7438" max="7438" width="15.88671875" style="418" customWidth="1"/>
    <col min="7439" max="7439" width="19.33203125" style="418" customWidth="1"/>
    <col min="7440" max="7440" width="17.6640625" style="418" bestFit="1" customWidth="1"/>
    <col min="7441" max="7676" width="12.6640625" style="418"/>
    <col min="7677" max="7677" width="5.88671875" style="418" customWidth="1"/>
    <col min="7678" max="7678" width="48.33203125" style="418" customWidth="1"/>
    <col min="7679" max="7679" width="14.109375" style="418" customWidth="1"/>
    <col min="7680" max="7680" width="13.5546875" style="418" customWidth="1"/>
    <col min="7681" max="7681" width="15.88671875" style="418" customWidth="1"/>
    <col min="7682" max="7682" width="16.44140625" style="418" customWidth="1"/>
    <col min="7683" max="7683" width="18.44140625" style="418" customWidth="1"/>
    <col min="7684" max="7684" width="3.109375" style="418" customWidth="1"/>
    <col min="7685" max="7687" width="18.44140625" style="418" customWidth="1"/>
    <col min="7688" max="7688" width="3" style="418" customWidth="1"/>
    <col min="7689" max="7689" width="14" style="418" customWidth="1"/>
    <col min="7690" max="7690" width="15.88671875" style="418" customWidth="1"/>
    <col min="7691" max="7691" width="15.109375" style="418" customWidth="1"/>
    <col min="7692" max="7692" width="2.88671875" style="418" customWidth="1"/>
    <col min="7693" max="7693" width="14.109375" style="418" customWidth="1"/>
    <col min="7694" max="7694" width="15.88671875" style="418" customWidth="1"/>
    <col min="7695" max="7695" width="19.33203125" style="418" customWidth="1"/>
    <col min="7696" max="7696" width="17.6640625" style="418" bestFit="1" customWidth="1"/>
    <col min="7697" max="7932" width="12.6640625" style="418"/>
    <col min="7933" max="7933" width="5.88671875" style="418" customWidth="1"/>
    <col min="7934" max="7934" width="48.33203125" style="418" customWidth="1"/>
    <col min="7935" max="7935" width="14.109375" style="418" customWidth="1"/>
    <col min="7936" max="7936" width="13.5546875" style="418" customWidth="1"/>
    <col min="7937" max="7937" width="15.88671875" style="418" customWidth="1"/>
    <col min="7938" max="7938" width="16.44140625" style="418" customWidth="1"/>
    <col min="7939" max="7939" width="18.44140625" style="418" customWidth="1"/>
    <col min="7940" max="7940" width="3.109375" style="418" customWidth="1"/>
    <col min="7941" max="7943" width="18.44140625" style="418" customWidth="1"/>
    <col min="7944" max="7944" width="3" style="418" customWidth="1"/>
    <col min="7945" max="7945" width="14" style="418" customWidth="1"/>
    <col min="7946" max="7946" width="15.88671875" style="418" customWidth="1"/>
    <col min="7947" max="7947" width="15.109375" style="418" customWidth="1"/>
    <col min="7948" max="7948" width="2.88671875" style="418" customWidth="1"/>
    <col min="7949" max="7949" width="14.109375" style="418" customWidth="1"/>
    <col min="7950" max="7950" width="15.88671875" style="418" customWidth="1"/>
    <col min="7951" max="7951" width="19.33203125" style="418" customWidth="1"/>
    <col min="7952" max="7952" width="17.6640625" style="418" bestFit="1" customWidth="1"/>
    <col min="7953" max="8188" width="12.6640625" style="418"/>
    <col min="8189" max="8189" width="5.88671875" style="418" customWidth="1"/>
    <col min="8190" max="8190" width="48.33203125" style="418" customWidth="1"/>
    <col min="8191" max="8191" width="14.109375" style="418" customWidth="1"/>
    <col min="8192" max="8192" width="13.5546875" style="418" customWidth="1"/>
    <col min="8193" max="8193" width="15.88671875" style="418" customWidth="1"/>
    <col min="8194" max="8194" width="16.44140625" style="418" customWidth="1"/>
    <col min="8195" max="8195" width="18.44140625" style="418" customWidth="1"/>
    <col min="8196" max="8196" width="3.109375" style="418" customWidth="1"/>
    <col min="8197" max="8199" width="18.44140625" style="418" customWidth="1"/>
    <col min="8200" max="8200" width="3" style="418" customWidth="1"/>
    <col min="8201" max="8201" width="14" style="418" customWidth="1"/>
    <col min="8202" max="8202" width="15.88671875" style="418" customWidth="1"/>
    <col min="8203" max="8203" width="15.109375" style="418" customWidth="1"/>
    <col min="8204" max="8204" width="2.88671875" style="418" customWidth="1"/>
    <col min="8205" max="8205" width="14.109375" style="418" customWidth="1"/>
    <col min="8206" max="8206" width="15.88671875" style="418" customWidth="1"/>
    <col min="8207" max="8207" width="19.33203125" style="418" customWidth="1"/>
    <col min="8208" max="8208" width="17.6640625" style="418" bestFit="1" customWidth="1"/>
    <col min="8209" max="8444" width="12.6640625" style="418"/>
    <col min="8445" max="8445" width="5.88671875" style="418" customWidth="1"/>
    <col min="8446" max="8446" width="48.33203125" style="418" customWidth="1"/>
    <col min="8447" max="8447" width="14.109375" style="418" customWidth="1"/>
    <col min="8448" max="8448" width="13.5546875" style="418" customWidth="1"/>
    <col min="8449" max="8449" width="15.88671875" style="418" customWidth="1"/>
    <col min="8450" max="8450" width="16.44140625" style="418" customWidth="1"/>
    <col min="8451" max="8451" width="18.44140625" style="418" customWidth="1"/>
    <col min="8452" max="8452" width="3.109375" style="418" customWidth="1"/>
    <col min="8453" max="8455" width="18.44140625" style="418" customWidth="1"/>
    <col min="8456" max="8456" width="3" style="418" customWidth="1"/>
    <col min="8457" max="8457" width="14" style="418" customWidth="1"/>
    <col min="8458" max="8458" width="15.88671875" style="418" customWidth="1"/>
    <col min="8459" max="8459" width="15.109375" style="418" customWidth="1"/>
    <col min="8460" max="8460" width="2.88671875" style="418" customWidth="1"/>
    <col min="8461" max="8461" width="14.109375" style="418" customWidth="1"/>
    <col min="8462" max="8462" width="15.88671875" style="418" customWidth="1"/>
    <col min="8463" max="8463" width="19.33203125" style="418" customWidth="1"/>
    <col min="8464" max="8464" width="17.6640625" style="418" bestFit="1" customWidth="1"/>
    <col min="8465" max="8700" width="12.6640625" style="418"/>
    <col min="8701" max="8701" width="5.88671875" style="418" customWidth="1"/>
    <col min="8702" max="8702" width="48.33203125" style="418" customWidth="1"/>
    <col min="8703" max="8703" width="14.109375" style="418" customWidth="1"/>
    <col min="8704" max="8704" width="13.5546875" style="418" customWidth="1"/>
    <col min="8705" max="8705" width="15.88671875" style="418" customWidth="1"/>
    <col min="8706" max="8706" width="16.44140625" style="418" customWidth="1"/>
    <col min="8707" max="8707" width="18.44140625" style="418" customWidth="1"/>
    <col min="8708" max="8708" width="3.109375" style="418" customWidth="1"/>
    <col min="8709" max="8711" width="18.44140625" style="418" customWidth="1"/>
    <col min="8712" max="8712" width="3" style="418" customWidth="1"/>
    <col min="8713" max="8713" width="14" style="418" customWidth="1"/>
    <col min="8714" max="8714" width="15.88671875" style="418" customWidth="1"/>
    <col min="8715" max="8715" width="15.109375" style="418" customWidth="1"/>
    <col min="8716" max="8716" width="2.88671875" style="418" customWidth="1"/>
    <col min="8717" max="8717" width="14.109375" style="418" customWidth="1"/>
    <col min="8718" max="8718" width="15.88671875" style="418" customWidth="1"/>
    <col min="8719" max="8719" width="19.33203125" style="418" customWidth="1"/>
    <col min="8720" max="8720" width="17.6640625" style="418" bestFit="1" customWidth="1"/>
    <col min="8721" max="8956" width="12.6640625" style="418"/>
    <col min="8957" max="8957" width="5.88671875" style="418" customWidth="1"/>
    <col min="8958" max="8958" width="48.33203125" style="418" customWidth="1"/>
    <col min="8959" max="8959" width="14.109375" style="418" customWidth="1"/>
    <col min="8960" max="8960" width="13.5546875" style="418" customWidth="1"/>
    <col min="8961" max="8961" width="15.88671875" style="418" customWidth="1"/>
    <col min="8962" max="8962" width="16.44140625" style="418" customWidth="1"/>
    <col min="8963" max="8963" width="18.44140625" style="418" customWidth="1"/>
    <col min="8964" max="8964" width="3.109375" style="418" customWidth="1"/>
    <col min="8965" max="8967" width="18.44140625" style="418" customWidth="1"/>
    <col min="8968" max="8968" width="3" style="418" customWidth="1"/>
    <col min="8969" max="8969" width="14" style="418" customWidth="1"/>
    <col min="8970" max="8970" width="15.88671875" style="418" customWidth="1"/>
    <col min="8971" max="8971" width="15.109375" style="418" customWidth="1"/>
    <col min="8972" max="8972" width="2.88671875" style="418" customWidth="1"/>
    <col min="8973" max="8973" width="14.109375" style="418" customWidth="1"/>
    <col min="8974" max="8974" width="15.88671875" style="418" customWidth="1"/>
    <col min="8975" max="8975" width="19.33203125" style="418" customWidth="1"/>
    <col min="8976" max="8976" width="17.6640625" style="418" bestFit="1" customWidth="1"/>
    <col min="8977" max="9212" width="12.6640625" style="418"/>
    <col min="9213" max="9213" width="5.88671875" style="418" customWidth="1"/>
    <col min="9214" max="9214" width="48.33203125" style="418" customWidth="1"/>
    <col min="9215" max="9215" width="14.109375" style="418" customWidth="1"/>
    <col min="9216" max="9216" width="13.5546875" style="418" customWidth="1"/>
    <col min="9217" max="9217" width="15.88671875" style="418" customWidth="1"/>
    <col min="9218" max="9218" width="16.44140625" style="418" customWidth="1"/>
    <col min="9219" max="9219" width="18.44140625" style="418" customWidth="1"/>
    <col min="9220" max="9220" width="3.109375" style="418" customWidth="1"/>
    <col min="9221" max="9223" width="18.44140625" style="418" customWidth="1"/>
    <col min="9224" max="9224" width="3" style="418" customWidth="1"/>
    <col min="9225" max="9225" width="14" style="418" customWidth="1"/>
    <col min="9226" max="9226" width="15.88671875" style="418" customWidth="1"/>
    <col min="9227" max="9227" width="15.109375" style="418" customWidth="1"/>
    <col min="9228" max="9228" width="2.88671875" style="418" customWidth="1"/>
    <col min="9229" max="9229" width="14.109375" style="418" customWidth="1"/>
    <col min="9230" max="9230" width="15.88671875" style="418" customWidth="1"/>
    <col min="9231" max="9231" width="19.33203125" style="418" customWidth="1"/>
    <col min="9232" max="9232" width="17.6640625" style="418" bestFit="1" customWidth="1"/>
    <col min="9233" max="9468" width="12.6640625" style="418"/>
    <col min="9469" max="9469" width="5.88671875" style="418" customWidth="1"/>
    <col min="9470" max="9470" width="48.33203125" style="418" customWidth="1"/>
    <col min="9471" max="9471" width="14.109375" style="418" customWidth="1"/>
    <col min="9472" max="9472" width="13.5546875" style="418" customWidth="1"/>
    <col min="9473" max="9473" width="15.88671875" style="418" customWidth="1"/>
    <col min="9474" max="9474" width="16.44140625" style="418" customWidth="1"/>
    <col min="9475" max="9475" width="18.44140625" style="418" customWidth="1"/>
    <col min="9476" max="9476" width="3.109375" style="418" customWidth="1"/>
    <col min="9477" max="9479" width="18.44140625" style="418" customWidth="1"/>
    <col min="9480" max="9480" width="3" style="418" customWidth="1"/>
    <col min="9481" max="9481" width="14" style="418" customWidth="1"/>
    <col min="9482" max="9482" width="15.88671875" style="418" customWidth="1"/>
    <col min="9483" max="9483" width="15.109375" style="418" customWidth="1"/>
    <col min="9484" max="9484" width="2.88671875" style="418" customWidth="1"/>
    <col min="9485" max="9485" width="14.109375" style="418" customWidth="1"/>
    <col min="9486" max="9486" width="15.88671875" style="418" customWidth="1"/>
    <col min="9487" max="9487" width="19.33203125" style="418" customWidth="1"/>
    <col min="9488" max="9488" width="17.6640625" style="418" bestFit="1" customWidth="1"/>
    <col min="9489" max="9724" width="12.6640625" style="418"/>
    <col min="9725" max="9725" width="5.88671875" style="418" customWidth="1"/>
    <col min="9726" max="9726" width="48.33203125" style="418" customWidth="1"/>
    <col min="9727" max="9727" width="14.109375" style="418" customWidth="1"/>
    <col min="9728" max="9728" width="13.5546875" style="418" customWidth="1"/>
    <col min="9729" max="9729" width="15.88671875" style="418" customWidth="1"/>
    <col min="9730" max="9730" width="16.44140625" style="418" customWidth="1"/>
    <col min="9731" max="9731" width="18.44140625" style="418" customWidth="1"/>
    <col min="9732" max="9732" width="3.109375" style="418" customWidth="1"/>
    <col min="9733" max="9735" width="18.44140625" style="418" customWidth="1"/>
    <col min="9736" max="9736" width="3" style="418" customWidth="1"/>
    <col min="9737" max="9737" width="14" style="418" customWidth="1"/>
    <col min="9738" max="9738" width="15.88671875" style="418" customWidth="1"/>
    <col min="9739" max="9739" width="15.109375" style="418" customWidth="1"/>
    <col min="9740" max="9740" width="2.88671875" style="418" customWidth="1"/>
    <col min="9741" max="9741" width="14.109375" style="418" customWidth="1"/>
    <col min="9742" max="9742" width="15.88671875" style="418" customWidth="1"/>
    <col min="9743" max="9743" width="19.33203125" style="418" customWidth="1"/>
    <col min="9744" max="9744" width="17.6640625" style="418" bestFit="1" customWidth="1"/>
    <col min="9745" max="9980" width="12.6640625" style="418"/>
    <col min="9981" max="9981" width="5.88671875" style="418" customWidth="1"/>
    <col min="9982" max="9982" width="48.33203125" style="418" customWidth="1"/>
    <col min="9983" max="9983" width="14.109375" style="418" customWidth="1"/>
    <col min="9984" max="9984" width="13.5546875" style="418" customWidth="1"/>
    <col min="9985" max="9985" width="15.88671875" style="418" customWidth="1"/>
    <col min="9986" max="9986" width="16.44140625" style="418" customWidth="1"/>
    <col min="9987" max="9987" width="18.44140625" style="418" customWidth="1"/>
    <col min="9988" max="9988" width="3.109375" style="418" customWidth="1"/>
    <col min="9989" max="9991" width="18.44140625" style="418" customWidth="1"/>
    <col min="9992" max="9992" width="3" style="418" customWidth="1"/>
    <col min="9993" max="9993" width="14" style="418" customWidth="1"/>
    <col min="9994" max="9994" width="15.88671875" style="418" customWidth="1"/>
    <col min="9995" max="9995" width="15.109375" style="418" customWidth="1"/>
    <col min="9996" max="9996" width="2.88671875" style="418" customWidth="1"/>
    <col min="9997" max="9997" width="14.109375" style="418" customWidth="1"/>
    <col min="9998" max="9998" width="15.88671875" style="418" customWidth="1"/>
    <col min="9999" max="9999" width="19.33203125" style="418" customWidth="1"/>
    <col min="10000" max="10000" width="17.6640625" style="418" bestFit="1" customWidth="1"/>
    <col min="10001" max="10236" width="12.6640625" style="418"/>
    <col min="10237" max="10237" width="5.88671875" style="418" customWidth="1"/>
    <col min="10238" max="10238" width="48.33203125" style="418" customWidth="1"/>
    <col min="10239" max="10239" width="14.109375" style="418" customWidth="1"/>
    <col min="10240" max="10240" width="13.5546875" style="418" customWidth="1"/>
    <col min="10241" max="10241" width="15.88671875" style="418" customWidth="1"/>
    <col min="10242" max="10242" width="16.44140625" style="418" customWidth="1"/>
    <col min="10243" max="10243" width="18.44140625" style="418" customWidth="1"/>
    <col min="10244" max="10244" width="3.109375" style="418" customWidth="1"/>
    <col min="10245" max="10247" width="18.44140625" style="418" customWidth="1"/>
    <col min="10248" max="10248" width="3" style="418" customWidth="1"/>
    <col min="10249" max="10249" width="14" style="418" customWidth="1"/>
    <col min="10250" max="10250" width="15.88671875" style="418" customWidth="1"/>
    <col min="10251" max="10251" width="15.109375" style="418" customWidth="1"/>
    <col min="10252" max="10252" width="2.88671875" style="418" customWidth="1"/>
    <col min="10253" max="10253" width="14.109375" style="418" customWidth="1"/>
    <col min="10254" max="10254" width="15.88671875" style="418" customWidth="1"/>
    <col min="10255" max="10255" width="19.33203125" style="418" customWidth="1"/>
    <col min="10256" max="10256" width="17.6640625" style="418" bestFit="1" customWidth="1"/>
    <col min="10257" max="10492" width="12.6640625" style="418"/>
    <col min="10493" max="10493" width="5.88671875" style="418" customWidth="1"/>
    <col min="10494" max="10494" width="48.33203125" style="418" customWidth="1"/>
    <col min="10495" max="10495" width="14.109375" style="418" customWidth="1"/>
    <col min="10496" max="10496" width="13.5546875" style="418" customWidth="1"/>
    <col min="10497" max="10497" width="15.88671875" style="418" customWidth="1"/>
    <col min="10498" max="10498" width="16.44140625" style="418" customWidth="1"/>
    <col min="10499" max="10499" width="18.44140625" style="418" customWidth="1"/>
    <col min="10500" max="10500" width="3.109375" style="418" customWidth="1"/>
    <col min="10501" max="10503" width="18.44140625" style="418" customWidth="1"/>
    <col min="10504" max="10504" width="3" style="418" customWidth="1"/>
    <col min="10505" max="10505" width="14" style="418" customWidth="1"/>
    <col min="10506" max="10506" width="15.88671875" style="418" customWidth="1"/>
    <col min="10507" max="10507" width="15.109375" style="418" customWidth="1"/>
    <col min="10508" max="10508" width="2.88671875" style="418" customWidth="1"/>
    <col min="10509" max="10509" width="14.109375" style="418" customWidth="1"/>
    <col min="10510" max="10510" width="15.88671875" style="418" customWidth="1"/>
    <col min="10511" max="10511" width="19.33203125" style="418" customWidth="1"/>
    <col min="10512" max="10512" width="17.6640625" style="418" bestFit="1" customWidth="1"/>
    <col min="10513" max="10748" width="12.6640625" style="418"/>
    <col min="10749" max="10749" width="5.88671875" style="418" customWidth="1"/>
    <col min="10750" max="10750" width="48.33203125" style="418" customWidth="1"/>
    <col min="10751" max="10751" width="14.109375" style="418" customWidth="1"/>
    <col min="10752" max="10752" width="13.5546875" style="418" customWidth="1"/>
    <col min="10753" max="10753" width="15.88671875" style="418" customWidth="1"/>
    <col min="10754" max="10754" width="16.44140625" style="418" customWidth="1"/>
    <col min="10755" max="10755" width="18.44140625" style="418" customWidth="1"/>
    <col min="10756" max="10756" width="3.109375" style="418" customWidth="1"/>
    <col min="10757" max="10759" width="18.44140625" style="418" customWidth="1"/>
    <col min="10760" max="10760" width="3" style="418" customWidth="1"/>
    <col min="10761" max="10761" width="14" style="418" customWidth="1"/>
    <col min="10762" max="10762" width="15.88671875" style="418" customWidth="1"/>
    <col min="10763" max="10763" width="15.109375" style="418" customWidth="1"/>
    <col min="10764" max="10764" width="2.88671875" style="418" customWidth="1"/>
    <col min="10765" max="10765" width="14.109375" style="418" customWidth="1"/>
    <col min="10766" max="10766" width="15.88671875" style="418" customWidth="1"/>
    <col min="10767" max="10767" width="19.33203125" style="418" customWidth="1"/>
    <col min="10768" max="10768" width="17.6640625" style="418" bestFit="1" customWidth="1"/>
    <col min="10769" max="11004" width="12.6640625" style="418"/>
    <col min="11005" max="11005" width="5.88671875" style="418" customWidth="1"/>
    <col min="11006" max="11006" width="48.33203125" style="418" customWidth="1"/>
    <col min="11007" max="11007" width="14.109375" style="418" customWidth="1"/>
    <col min="11008" max="11008" width="13.5546875" style="418" customWidth="1"/>
    <col min="11009" max="11009" width="15.88671875" style="418" customWidth="1"/>
    <col min="11010" max="11010" width="16.44140625" style="418" customWidth="1"/>
    <col min="11011" max="11011" width="18.44140625" style="418" customWidth="1"/>
    <col min="11012" max="11012" width="3.109375" style="418" customWidth="1"/>
    <col min="11013" max="11015" width="18.44140625" style="418" customWidth="1"/>
    <col min="11016" max="11016" width="3" style="418" customWidth="1"/>
    <col min="11017" max="11017" width="14" style="418" customWidth="1"/>
    <col min="11018" max="11018" width="15.88671875" style="418" customWidth="1"/>
    <col min="11019" max="11019" width="15.109375" style="418" customWidth="1"/>
    <col min="11020" max="11020" width="2.88671875" style="418" customWidth="1"/>
    <col min="11021" max="11021" width="14.109375" style="418" customWidth="1"/>
    <col min="11022" max="11022" width="15.88671875" style="418" customWidth="1"/>
    <col min="11023" max="11023" width="19.33203125" style="418" customWidth="1"/>
    <col min="11024" max="11024" width="17.6640625" style="418" bestFit="1" customWidth="1"/>
    <col min="11025" max="11260" width="12.6640625" style="418"/>
    <col min="11261" max="11261" width="5.88671875" style="418" customWidth="1"/>
    <col min="11262" max="11262" width="48.33203125" style="418" customWidth="1"/>
    <col min="11263" max="11263" width="14.109375" style="418" customWidth="1"/>
    <col min="11264" max="11264" width="13.5546875" style="418" customWidth="1"/>
    <col min="11265" max="11265" width="15.88671875" style="418" customWidth="1"/>
    <col min="11266" max="11266" width="16.44140625" style="418" customWidth="1"/>
    <col min="11267" max="11267" width="18.44140625" style="418" customWidth="1"/>
    <col min="11268" max="11268" width="3.109375" style="418" customWidth="1"/>
    <col min="11269" max="11271" width="18.44140625" style="418" customWidth="1"/>
    <col min="11272" max="11272" width="3" style="418" customWidth="1"/>
    <col min="11273" max="11273" width="14" style="418" customWidth="1"/>
    <col min="11274" max="11274" width="15.88671875" style="418" customWidth="1"/>
    <col min="11275" max="11275" width="15.109375" style="418" customWidth="1"/>
    <col min="11276" max="11276" width="2.88671875" style="418" customWidth="1"/>
    <col min="11277" max="11277" width="14.109375" style="418" customWidth="1"/>
    <col min="11278" max="11278" width="15.88671875" style="418" customWidth="1"/>
    <col min="11279" max="11279" width="19.33203125" style="418" customWidth="1"/>
    <col min="11280" max="11280" width="17.6640625" style="418" bestFit="1" customWidth="1"/>
    <col min="11281" max="11516" width="12.6640625" style="418"/>
    <col min="11517" max="11517" width="5.88671875" style="418" customWidth="1"/>
    <col min="11518" max="11518" width="48.33203125" style="418" customWidth="1"/>
    <col min="11519" max="11519" width="14.109375" style="418" customWidth="1"/>
    <col min="11520" max="11520" width="13.5546875" style="418" customWidth="1"/>
    <col min="11521" max="11521" width="15.88671875" style="418" customWidth="1"/>
    <col min="11522" max="11522" width="16.44140625" style="418" customWidth="1"/>
    <col min="11523" max="11523" width="18.44140625" style="418" customWidth="1"/>
    <col min="11524" max="11524" width="3.109375" style="418" customWidth="1"/>
    <col min="11525" max="11527" width="18.44140625" style="418" customWidth="1"/>
    <col min="11528" max="11528" width="3" style="418" customWidth="1"/>
    <col min="11529" max="11529" width="14" style="418" customWidth="1"/>
    <col min="11530" max="11530" width="15.88671875" style="418" customWidth="1"/>
    <col min="11531" max="11531" width="15.109375" style="418" customWidth="1"/>
    <col min="11532" max="11532" width="2.88671875" style="418" customWidth="1"/>
    <col min="11533" max="11533" width="14.109375" style="418" customWidth="1"/>
    <col min="11534" max="11534" width="15.88671875" style="418" customWidth="1"/>
    <col min="11535" max="11535" width="19.33203125" style="418" customWidth="1"/>
    <col min="11536" max="11536" width="17.6640625" style="418" bestFit="1" customWidth="1"/>
    <col min="11537" max="11772" width="12.6640625" style="418"/>
    <col min="11773" max="11773" width="5.88671875" style="418" customWidth="1"/>
    <col min="11774" max="11774" width="48.33203125" style="418" customWidth="1"/>
    <col min="11775" max="11775" width="14.109375" style="418" customWidth="1"/>
    <col min="11776" max="11776" width="13.5546875" style="418" customWidth="1"/>
    <col min="11777" max="11777" width="15.88671875" style="418" customWidth="1"/>
    <col min="11778" max="11778" width="16.44140625" style="418" customWidth="1"/>
    <col min="11779" max="11779" width="18.44140625" style="418" customWidth="1"/>
    <col min="11780" max="11780" width="3.109375" style="418" customWidth="1"/>
    <col min="11781" max="11783" width="18.44140625" style="418" customWidth="1"/>
    <col min="11784" max="11784" width="3" style="418" customWidth="1"/>
    <col min="11785" max="11785" width="14" style="418" customWidth="1"/>
    <col min="11786" max="11786" width="15.88671875" style="418" customWidth="1"/>
    <col min="11787" max="11787" width="15.109375" style="418" customWidth="1"/>
    <col min="11788" max="11788" width="2.88671875" style="418" customWidth="1"/>
    <col min="11789" max="11789" width="14.109375" style="418" customWidth="1"/>
    <col min="11790" max="11790" width="15.88671875" style="418" customWidth="1"/>
    <col min="11791" max="11791" width="19.33203125" style="418" customWidth="1"/>
    <col min="11792" max="11792" width="17.6640625" style="418" bestFit="1" customWidth="1"/>
    <col min="11793" max="12028" width="12.6640625" style="418"/>
    <col min="12029" max="12029" width="5.88671875" style="418" customWidth="1"/>
    <col min="12030" max="12030" width="48.33203125" style="418" customWidth="1"/>
    <col min="12031" max="12031" width="14.109375" style="418" customWidth="1"/>
    <col min="12032" max="12032" width="13.5546875" style="418" customWidth="1"/>
    <col min="12033" max="12033" width="15.88671875" style="418" customWidth="1"/>
    <col min="12034" max="12034" width="16.44140625" style="418" customWidth="1"/>
    <col min="12035" max="12035" width="18.44140625" style="418" customWidth="1"/>
    <col min="12036" max="12036" width="3.109375" style="418" customWidth="1"/>
    <col min="12037" max="12039" width="18.44140625" style="418" customWidth="1"/>
    <col min="12040" max="12040" width="3" style="418" customWidth="1"/>
    <col min="12041" max="12041" width="14" style="418" customWidth="1"/>
    <col min="12042" max="12042" width="15.88671875" style="418" customWidth="1"/>
    <col min="12043" max="12043" width="15.109375" style="418" customWidth="1"/>
    <col min="12044" max="12044" width="2.88671875" style="418" customWidth="1"/>
    <col min="12045" max="12045" width="14.109375" style="418" customWidth="1"/>
    <col min="12046" max="12046" width="15.88671875" style="418" customWidth="1"/>
    <col min="12047" max="12047" width="19.33203125" style="418" customWidth="1"/>
    <col min="12048" max="12048" width="17.6640625" style="418" bestFit="1" customWidth="1"/>
    <col min="12049" max="12284" width="12.6640625" style="418"/>
    <col min="12285" max="12285" width="5.88671875" style="418" customWidth="1"/>
    <col min="12286" max="12286" width="48.33203125" style="418" customWidth="1"/>
    <col min="12287" max="12287" width="14.109375" style="418" customWidth="1"/>
    <col min="12288" max="12288" width="13.5546875" style="418" customWidth="1"/>
    <col min="12289" max="12289" width="15.88671875" style="418" customWidth="1"/>
    <col min="12290" max="12290" width="16.44140625" style="418" customWidth="1"/>
    <col min="12291" max="12291" width="18.44140625" style="418" customWidth="1"/>
    <col min="12292" max="12292" width="3.109375" style="418" customWidth="1"/>
    <col min="12293" max="12295" width="18.44140625" style="418" customWidth="1"/>
    <col min="12296" max="12296" width="3" style="418" customWidth="1"/>
    <col min="12297" max="12297" width="14" style="418" customWidth="1"/>
    <col min="12298" max="12298" width="15.88671875" style="418" customWidth="1"/>
    <col min="12299" max="12299" width="15.109375" style="418" customWidth="1"/>
    <col min="12300" max="12300" width="2.88671875" style="418" customWidth="1"/>
    <col min="12301" max="12301" width="14.109375" style="418" customWidth="1"/>
    <col min="12302" max="12302" width="15.88671875" style="418" customWidth="1"/>
    <col min="12303" max="12303" width="19.33203125" style="418" customWidth="1"/>
    <col min="12304" max="12304" width="17.6640625" style="418" bestFit="1" customWidth="1"/>
    <col min="12305" max="12540" width="12.6640625" style="418"/>
    <col min="12541" max="12541" width="5.88671875" style="418" customWidth="1"/>
    <col min="12542" max="12542" width="48.33203125" style="418" customWidth="1"/>
    <col min="12543" max="12543" width="14.109375" style="418" customWidth="1"/>
    <col min="12544" max="12544" width="13.5546875" style="418" customWidth="1"/>
    <col min="12545" max="12545" width="15.88671875" style="418" customWidth="1"/>
    <col min="12546" max="12546" width="16.44140625" style="418" customWidth="1"/>
    <col min="12547" max="12547" width="18.44140625" style="418" customWidth="1"/>
    <col min="12548" max="12548" width="3.109375" style="418" customWidth="1"/>
    <col min="12549" max="12551" width="18.44140625" style="418" customWidth="1"/>
    <col min="12552" max="12552" width="3" style="418" customWidth="1"/>
    <col min="12553" max="12553" width="14" style="418" customWidth="1"/>
    <col min="12554" max="12554" width="15.88671875" style="418" customWidth="1"/>
    <col min="12555" max="12555" width="15.109375" style="418" customWidth="1"/>
    <col min="12556" max="12556" width="2.88671875" style="418" customWidth="1"/>
    <col min="12557" max="12557" width="14.109375" style="418" customWidth="1"/>
    <col min="12558" max="12558" width="15.88671875" style="418" customWidth="1"/>
    <col min="12559" max="12559" width="19.33203125" style="418" customWidth="1"/>
    <col min="12560" max="12560" width="17.6640625" style="418" bestFit="1" customWidth="1"/>
    <col min="12561" max="12796" width="12.6640625" style="418"/>
    <col min="12797" max="12797" width="5.88671875" style="418" customWidth="1"/>
    <col min="12798" max="12798" width="48.33203125" style="418" customWidth="1"/>
    <col min="12799" max="12799" width="14.109375" style="418" customWidth="1"/>
    <col min="12800" max="12800" width="13.5546875" style="418" customWidth="1"/>
    <col min="12801" max="12801" width="15.88671875" style="418" customWidth="1"/>
    <col min="12802" max="12802" width="16.44140625" style="418" customWidth="1"/>
    <col min="12803" max="12803" width="18.44140625" style="418" customWidth="1"/>
    <col min="12804" max="12804" width="3.109375" style="418" customWidth="1"/>
    <col min="12805" max="12807" width="18.44140625" style="418" customWidth="1"/>
    <col min="12808" max="12808" width="3" style="418" customWidth="1"/>
    <col min="12809" max="12809" width="14" style="418" customWidth="1"/>
    <col min="12810" max="12810" width="15.88671875" style="418" customWidth="1"/>
    <col min="12811" max="12811" width="15.109375" style="418" customWidth="1"/>
    <col min="12812" max="12812" width="2.88671875" style="418" customWidth="1"/>
    <col min="12813" max="12813" width="14.109375" style="418" customWidth="1"/>
    <col min="12814" max="12814" width="15.88671875" style="418" customWidth="1"/>
    <col min="12815" max="12815" width="19.33203125" style="418" customWidth="1"/>
    <col min="12816" max="12816" width="17.6640625" style="418" bestFit="1" customWidth="1"/>
    <col min="12817" max="13052" width="12.6640625" style="418"/>
    <col min="13053" max="13053" width="5.88671875" style="418" customWidth="1"/>
    <col min="13054" max="13054" width="48.33203125" style="418" customWidth="1"/>
    <col min="13055" max="13055" width="14.109375" style="418" customWidth="1"/>
    <col min="13056" max="13056" width="13.5546875" style="418" customWidth="1"/>
    <col min="13057" max="13057" width="15.88671875" style="418" customWidth="1"/>
    <col min="13058" max="13058" width="16.44140625" style="418" customWidth="1"/>
    <col min="13059" max="13059" width="18.44140625" style="418" customWidth="1"/>
    <col min="13060" max="13060" width="3.109375" style="418" customWidth="1"/>
    <col min="13061" max="13063" width="18.44140625" style="418" customWidth="1"/>
    <col min="13064" max="13064" width="3" style="418" customWidth="1"/>
    <col min="13065" max="13065" width="14" style="418" customWidth="1"/>
    <col min="13066" max="13066" width="15.88671875" style="418" customWidth="1"/>
    <col min="13067" max="13067" width="15.109375" style="418" customWidth="1"/>
    <col min="13068" max="13068" width="2.88671875" style="418" customWidth="1"/>
    <col min="13069" max="13069" width="14.109375" style="418" customWidth="1"/>
    <col min="13070" max="13070" width="15.88671875" style="418" customWidth="1"/>
    <col min="13071" max="13071" width="19.33203125" style="418" customWidth="1"/>
    <col min="13072" max="13072" width="17.6640625" style="418" bestFit="1" customWidth="1"/>
    <col min="13073" max="13308" width="12.6640625" style="418"/>
    <col min="13309" max="13309" width="5.88671875" style="418" customWidth="1"/>
    <col min="13310" max="13310" width="48.33203125" style="418" customWidth="1"/>
    <col min="13311" max="13311" width="14.109375" style="418" customWidth="1"/>
    <col min="13312" max="13312" width="13.5546875" style="418" customWidth="1"/>
    <col min="13313" max="13313" width="15.88671875" style="418" customWidth="1"/>
    <col min="13314" max="13314" width="16.44140625" style="418" customWidth="1"/>
    <col min="13315" max="13315" width="18.44140625" style="418" customWidth="1"/>
    <col min="13316" max="13316" width="3.109375" style="418" customWidth="1"/>
    <col min="13317" max="13319" width="18.44140625" style="418" customWidth="1"/>
    <col min="13320" max="13320" width="3" style="418" customWidth="1"/>
    <col min="13321" max="13321" width="14" style="418" customWidth="1"/>
    <col min="13322" max="13322" width="15.88671875" style="418" customWidth="1"/>
    <col min="13323" max="13323" width="15.109375" style="418" customWidth="1"/>
    <col min="13324" max="13324" width="2.88671875" style="418" customWidth="1"/>
    <col min="13325" max="13325" width="14.109375" style="418" customWidth="1"/>
    <col min="13326" max="13326" width="15.88671875" style="418" customWidth="1"/>
    <col min="13327" max="13327" width="19.33203125" style="418" customWidth="1"/>
    <col min="13328" max="13328" width="17.6640625" style="418" bestFit="1" customWidth="1"/>
    <col min="13329" max="13564" width="12.6640625" style="418"/>
    <col min="13565" max="13565" width="5.88671875" style="418" customWidth="1"/>
    <col min="13566" max="13566" width="48.33203125" style="418" customWidth="1"/>
    <col min="13567" max="13567" width="14.109375" style="418" customWidth="1"/>
    <col min="13568" max="13568" width="13.5546875" style="418" customWidth="1"/>
    <col min="13569" max="13569" width="15.88671875" style="418" customWidth="1"/>
    <col min="13570" max="13570" width="16.44140625" style="418" customWidth="1"/>
    <col min="13571" max="13571" width="18.44140625" style="418" customWidth="1"/>
    <col min="13572" max="13572" width="3.109375" style="418" customWidth="1"/>
    <col min="13573" max="13575" width="18.44140625" style="418" customWidth="1"/>
    <col min="13576" max="13576" width="3" style="418" customWidth="1"/>
    <col min="13577" max="13577" width="14" style="418" customWidth="1"/>
    <col min="13578" max="13578" width="15.88671875" style="418" customWidth="1"/>
    <col min="13579" max="13579" width="15.109375" style="418" customWidth="1"/>
    <col min="13580" max="13580" width="2.88671875" style="418" customWidth="1"/>
    <col min="13581" max="13581" width="14.109375" style="418" customWidth="1"/>
    <col min="13582" max="13582" width="15.88671875" style="418" customWidth="1"/>
    <col min="13583" max="13583" width="19.33203125" style="418" customWidth="1"/>
    <col min="13584" max="13584" width="17.6640625" style="418" bestFit="1" customWidth="1"/>
    <col min="13585" max="13820" width="12.6640625" style="418"/>
    <col min="13821" max="13821" width="5.88671875" style="418" customWidth="1"/>
    <col min="13822" max="13822" width="48.33203125" style="418" customWidth="1"/>
    <col min="13823" max="13823" width="14.109375" style="418" customWidth="1"/>
    <col min="13824" max="13824" width="13.5546875" style="418" customWidth="1"/>
    <col min="13825" max="13825" width="15.88671875" style="418" customWidth="1"/>
    <col min="13826" max="13826" width="16.44140625" style="418" customWidth="1"/>
    <col min="13827" max="13827" width="18.44140625" style="418" customWidth="1"/>
    <col min="13828" max="13828" width="3.109375" style="418" customWidth="1"/>
    <col min="13829" max="13831" width="18.44140625" style="418" customWidth="1"/>
    <col min="13832" max="13832" width="3" style="418" customWidth="1"/>
    <col min="13833" max="13833" width="14" style="418" customWidth="1"/>
    <col min="13834" max="13834" width="15.88671875" style="418" customWidth="1"/>
    <col min="13835" max="13835" width="15.109375" style="418" customWidth="1"/>
    <col min="13836" max="13836" width="2.88671875" style="418" customWidth="1"/>
    <col min="13837" max="13837" width="14.109375" style="418" customWidth="1"/>
    <col min="13838" max="13838" width="15.88671875" style="418" customWidth="1"/>
    <col min="13839" max="13839" width="19.33203125" style="418" customWidth="1"/>
    <col min="13840" max="13840" width="17.6640625" style="418" bestFit="1" customWidth="1"/>
    <col min="13841" max="14076" width="12.6640625" style="418"/>
    <col min="14077" max="14077" width="5.88671875" style="418" customWidth="1"/>
    <col min="14078" max="14078" width="48.33203125" style="418" customWidth="1"/>
    <col min="14079" max="14079" width="14.109375" style="418" customWidth="1"/>
    <col min="14080" max="14080" width="13.5546875" style="418" customWidth="1"/>
    <col min="14081" max="14081" width="15.88671875" style="418" customWidth="1"/>
    <col min="14082" max="14082" width="16.44140625" style="418" customWidth="1"/>
    <col min="14083" max="14083" width="18.44140625" style="418" customWidth="1"/>
    <col min="14084" max="14084" width="3.109375" style="418" customWidth="1"/>
    <col min="14085" max="14087" width="18.44140625" style="418" customWidth="1"/>
    <col min="14088" max="14088" width="3" style="418" customWidth="1"/>
    <col min="14089" max="14089" width="14" style="418" customWidth="1"/>
    <col min="14090" max="14090" width="15.88671875" style="418" customWidth="1"/>
    <col min="14091" max="14091" width="15.109375" style="418" customWidth="1"/>
    <col min="14092" max="14092" width="2.88671875" style="418" customWidth="1"/>
    <col min="14093" max="14093" width="14.109375" style="418" customWidth="1"/>
    <col min="14094" max="14094" width="15.88671875" style="418" customWidth="1"/>
    <col min="14095" max="14095" width="19.33203125" style="418" customWidth="1"/>
    <col min="14096" max="14096" width="17.6640625" style="418" bestFit="1" customWidth="1"/>
    <col min="14097" max="14332" width="12.6640625" style="418"/>
    <col min="14333" max="14333" width="5.88671875" style="418" customWidth="1"/>
    <col min="14334" max="14334" width="48.33203125" style="418" customWidth="1"/>
    <col min="14335" max="14335" width="14.109375" style="418" customWidth="1"/>
    <col min="14336" max="14336" width="13.5546875" style="418" customWidth="1"/>
    <col min="14337" max="14337" width="15.88671875" style="418" customWidth="1"/>
    <col min="14338" max="14338" width="16.44140625" style="418" customWidth="1"/>
    <col min="14339" max="14339" width="18.44140625" style="418" customWidth="1"/>
    <col min="14340" max="14340" width="3.109375" style="418" customWidth="1"/>
    <col min="14341" max="14343" width="18.44140625" style="418" customWidth="1"/>
    <col min="14344" max="14344" width="3" style="418" customWidth="1"/>
    <col min="14345" max="14345" width="14" style="418" customWidth="1"/>
    <col min="14346" max="14346" width="15.88671875" style="418" customWidth="1"/>
    <col min="14347" max="14347" width="15.109375" style="418" customWidth="1"/>
    <col min="14348" max="14348" width="2.88671875" style="418" customWidth="1"/>
    <col min="14349" max="14349" width="14.109375" style="418" customWidth="1"/>
    <col min="14350" max="14350" width="15.88671875" style="418" customWidth="1"/>
    <col min="14351" max="14351" width="19.33203125" style="418" customWidth="1"/>
    <col min="14352" max="14352" width="17.6640625" style="418" bestFit="1" customWidth="1"/>
    <col min="14353" max="14588" width="12.6640625" style="418"/>
    <col min="14589" max="14589" width="5.88671875" style="418" customWidth="1"/>
    <col min="14590" max="14590" width="48.33203125" style="418" customWidth="1"/>
    <col min="14591" max="14591" width="14.109375" style="418" customWidth="1"/>
    <col min="14592" max="14592" width="13.5546875" style="418" customWidth="1"/>
    <col min="14593" max="14593" width="15.88671875" style="418" customWidth="1"/>
    <col min="14594" max="14594" width="16.44140625" style="418" customWidth="1"/>
    <col min="14595" max="14595" width="18.44140625" style="418" customWidth="1"/>
    <col min="14596" max="14596" width="3.109375" style="418" customWidth="1"/>
    <col min="14597" max="14599" width="18.44140625" style="418" customWidth="1"/>
    <col min="14600" max="14600" width="3" style="418" customWidth="1"/>
    <col min="14601" max="14601" width="14" style="418" customWidth="1"/>
    <col min="14602" max="14602" width="15.88671875" style="418" customWidth="1"/>
    <col min="14603" max="14603" width="15.109375" style="418" customWidth="1"/>
    <col min="14604" max="14604" width="2.88671875" style="418" customWidth="1"/>
    <col min="14605" max="14605" width="14.109375" style="418" customWidth="1"/>
    <col min="14606" max="14606" width="15.88671875" style="418" customWidth="1"/>
    <col min="14607" max="14607" width="19.33203125" style="418" customWidth="1"/>
    <col min="14608" max="14608" width="17.6640625" style="418" bestFit="1" customWidth="1"/>
    <col min="14609" max="14844" width="12.6640625" style="418"/>
    <col min="14845" max="14845" width="5.88671875" style="418" customWidth="1"/>
    <col min="14846" max="14846" width="48.33203125" style="418" customWidth="1"/>
    <col min="14847" max="14847" width="14.109375" style="418" customWidth="1"/>
    <col min="14848" max="14848" width="13.5546875" style="418" customWidth="1"/>
    <col min="14849" max="14849" width="15.88671875" style="418" customWidth="1"/>
    <col min="14850" max="14850" width="16.44140625" style="418" customWidth="1"/>
    <col min="14851" max="14851" width="18.44140625" style="418" customWidth="1"/>
    <col min="14852" max="14852" width="3.109375" style="418" customWidth="1"/>
    <col min="14853" max="14855" width="18.44140625" style="418" customWidth="1"/>
    <col min="14856" max="14856" width="3" style="418" customWidth="1"/>
    <col min="14857" max="14857" width="14" style="418" customWidth="1"/>
    <col min="14858" max="14858" width="15.88671875" style="418" customWidth="1"/>
    <col min="14859" max="14859" width="15.109375" style="418" customWidth="1"/>
    <col min="14860" max="14860" width="2.88671875" style="418" customWidth="1"/>
    <col min="14861" max="14861" width="14.109375" style="418" customWidth="1"/>
    <col min="14862" max="14862" width="15.88671875" style="418" customWidth="1"/>
    <col min="14863" max="14863" width="19.33203125" style="418" customWidth="1"/>
    <col min="14864" max="14864" width="17.6640625" style="418" bestFit="1" customWidth="1"/>
    <col min="14865" max="15100" width="12.6640625" style="418"/>
    <col min="15101" max="15101" width="5.88671875" style="418" customWidth="1"/>
    <col min="15102" max="15102" width="48.33203125" style="418" customWidth="1"/>
    <col min="15103" max="15103" width="14.109375" style="418" customWidth="1"/>
    <col min="15104" max="15104" width="13.5546875" style="418" customWidth="1"/>
    <col min="15105" max="15105" width="15.88671875" style="418" customWidth="1"/>
    <col min="15106" max="15106" width="16.44140625" style="418" customWidth="1"/>
    <col min="15107" max="15107" width="18.44140625" style="418" customWidth="1"/>
    <col min="15108" max="15108" width="3.109375" style="418" customWidth="1"/>
    <col min="15109" max="15111" width="18.44140625" style="418" customWidth="1"/>
    <col min="15112" max="15112" width="3" style="418" customWidth="1"/>
    <col min="15113" max="15113" width="14" style="418" customWidth="1"/>
    <col min="15114" max="15114" width="15.88671875" style="418" customWidth="1"/>
    <col min="15115" max="15115" width="15.109375" style="418" customWidth="1"/>
    <col min="15116" max="15116" width="2.88671875" style="418" customWidth="1"/>
    <col min="15117" max="15117" width="14.109375" style="418" customWidth="1"/>
    <col min="15118" max="15118" width="15.88671875" style="418" customWidth="1"/>
    <col min="15119" max="15119" width="19.33203125" style="418" customWidth="1"/>
    <col min="15120" max="15120" width="17.6640625" style="418" bestFit="1" customWidth="1"/>
    <col min="15121" max="15356" width="12.6640625" style="418"/>
    <col min="15357" max="15357" width="5.88671875" style="418" customWidth="1"/>
    <col min="15358" max="15358" width="48.33203125" style="418" customWidth="1"/>
    <col min="15359" max="15359" width="14.109375" style="418" customWidth="1"/>
    <col min="15360" max="15360" width="13.5546875" style="418" customWidth="1"/>
    <col min="15361" max="15361" width="15.88671875" style="418" customWidth="1"/>
    <col min="15362" max="15362" width="16.44140625" style="418" customWidth="1"/>
    <col min="15363" max="15363" width="18.44140625" style="418" customWidth="1"/>
    <col min="15364" max="15364" width="3.109375" style="418" customWidth="1"/>
    <col min="15365" max="15367" width="18.44140625" style="418" customWidth="1"/>
    <col min="15368" max="15368" width="3" style="418" customWidth="1"/>
    <col min="15369" max="15369" width="14" style="418" customWidth="1"/>
    <col min="15370" max="15370" width="15.88671875" style="418" customWidth="1"/>
    <col min="15371" max="15371" width="15.109375" style="418" customWidth="1"/>
    <col min="15372" max="15372" width="2.88671875" style="418" customWidth="1"/>
    <col min="15373" max="15373" width="14.109375" style="418" customWidth="1"/>
    <col min="15374" max="15374" width="15.88671875" style="418" customWidth="1"/>
    <col min="15375" max="15375" width="19.33203125" style="418" customWidth="1"/>
    <col min="15376" max="15376" width="17.6640625" style="418" bestFit="1" customWidth="1"/>
    <col min="15377" max="15612" width="12.6640625" style="418"/>
    <col min="15613" max="15613" width="5.88671875" style="418" customWidth="1"/>
    <col min="15614" max="15614" width="48.33203125" style="418" customWidth="1"/>
    <col min="15615" max="15615" width="14.109375" style="418" customWidth="1"/>
    <col min="15616" max="15616" width="13.5546875" style="418" customWidth="1"/>
    <col min="15617" max="15617" width="15.88671875" style="418" customWidth="1"/>
    <col min="15618" max="15618" width="16.44140625" style="418" customWidth="1"/>
    <col min="15619" max="15619" width="18.44140625" style="418" customWidth="1"/>
    <col min="15620" max="15620" width="3.109375" style="418" customWidth="1"/>
    <col min="15621" max="15623" width="18.44140625" style="418" customWidth="1"/>
    <col min="15624" max="15624" width="3" style="418" customWidth="1"/>
    <col min="15625" max="15625" width="14" style="418" customWidth="1"/>
    <col min="15626" max="15626" width="15.88671875" style="418" customWidth="1"/>
    <col min="15627" max="15627" width="15.109375" style="418" customWidth="1"/>
    <col min="15628" max="15628" width="2.88671875" style="418" customWidth="1"/>
    <col min="15629" max="15629" width="14.109375" style="418" customWidth="1"/>
    <col min="15630" max="15630" width="15.88671875" style="418" customWidth="1"/>
    <col min="15631" max="15631" width="19.33203125" style="418" customWidth="1"/>
    <col min="15632" max="15632" width="17.6640625" style="418" bestFit="1" customWidth="1"/>
    <col min="15633" max="15868" width="12.6640625" style="418"/>
    <col min="15869" max="15869" width="5.88671875" style="418" customWidth="1"/>
    <col min="15870" max="15870" width="48.33203125" style="418" customWidth="1"/>
    <col min="15871" max="15871" width="14.109375" style="418" customWidth="1"/>
    <col min="15872" max="15872" width="13.5546875" style="418" customWidth="1"/>
    <col min="15873" max="15873" width="15.88671875" style="418" customWidth="1"/>
    <col min="15874" max="15874" width="16.44140625" style="418" customWidth="1"/>
    <col min="15875" max="15875" width="18.44140625" style="418" customWidth="1"/>
    <col min="15876" max="15876" width="3.109375" style="418" customWidth="1"/>
    <col min="15877" max="15879" width="18.44140625" style="418" customWidth="1"/>
    <col min="15880" max="15880" width="3" style="418" customWidth="1"/>
    <col min="15881" max="15881" width="14" style="418" customWidth="1"/>
    <col min="15882" max="15882" width="15.88671875" style="418" customWidth="1"/>
    <col min="15883" max="15883" width="15.109375" style="418" customWidth="1"/>
    <col min="15884" max="15884" width="2.88671875" style="418" customWidth="1"/>
    <col min="15885" max="15885" width="14.109375" style="418" customWidth="1"/>
    <col min="15886" max="15886" width="15.88671875" style="418" customWidth="1"/>
    <col min="15887" max="15887" width="19.33203125" style="418" customWidth="1"/>
    <col min="15888" max="15888" width="17.6640625" style="418" bestFit="1" customWidth="1"/>
    <col min="15889" max="16124" width="12.6640625" style="418"/>
    <col min="16125" max="16125" width="5.88671875" style="418" customWidth="1"/>
    <col min="16126" max="16126" width="48.33203125" style="418" customWidth="1"/>
    <col min="16127" max="16127" width="14.109375" style="418" customWidth="1"/>
    <col min="16128" max="16128" width="13.5546875" style="418" customWidth="1"/>
    <col min="16129" max="16129" width="15.88671875" style="418" customWidth="1"/>
    <col min="16130" max="16130" width="16.44140625" style="418" customWidth="1"/>
    <col min="16131" max="16131" width="18.44140625" style="418" customWidth="1"/>
    <col min="16132" max="16132" width="3.109375" style="418" customWidth="1"/>
    <col min="16133" max="16135" width="18.44140625" style="418" customWidth="1"/>
    <col min="16136" max="16136" width="3" style="418" customWidth="1"/>
    <col min="16137" max="16137" width="14" style="418" customWidth="1"/>
    <col min="16138" max="16138" width="15.88671875" style="418" customWidth="1"/>
    <col min="16139" max="16139" width="15.109375" style="418" customWidth="1"/>
    <col min="16140" max="16140" width="2.88671875" style="418" customWidth="1"/>
    <col min="16141" max="16141" width="14.109375" style="418" customWidth="1"/>
    <col min="16142" max="16142" width="15.88671875" style="418" customWidth="1"/>
    <col min="16143" max="16143" width="19.33203125" style="418" customWidth="1"/>
    <col min="16144" max="16144" width="17.6640625" style="418" bestFit="1" customWidth="1"/>
    <col min="16145" max="16384" width="12.6640625" style="418"/>
  </cols>
  <sheetData>
    <row r="1" spans="1:21">
      <c r="B1" s="407"/>
      <c r="F1" s="408"/>
      <c r="G1" s="412"/>
      <c r="H1" s="412"/>
      <c r="K1" s="412"/>
      <c r="O1" s="412"/>
      <c r="P1" s="412"/>
    </row>
    <row r="2" spans="1:21">
      <c r="B2" s="407"/>
      <c r="G2" s="419"/>
      <c r="H2" s="419"/>
      <c r="K2" s="419"/>
      <c r="O2" s="419"/>
      <c r="P2" s="419"/>
    </row>
    <row r="3" spans="1:21">
      <c r="B3" s="407"/>
    </row>
    <row r="4" spans="1:21">
      <c r="B4" s="414"/>
    </row>
    <row r="5" spans="1:21">
      <c r="B5" s="410"/>
    </row>
    <row r="6" spans="1:21">
      <c r="F6" s="420"/>
      <c r="H6" s="420"/>
    </row>
    <row r="8" spans="1:21">
      <c r="B8" s="411"/>
      <c r="C8" s="421"/>
      <c r="D8" s="421"/>
      <c r="E8" s="421"/>
      <c r="F8" s="421"/>
      <c r="G8" s="421"/>
      <c r="H8" s="421"/>
      <c r="I8" s="411"/>
      <c r="J8" s="411"/>
      <c r="K8" s="411"/>
      <c r="M8" s="411"/>
      <c r="N8" s="411"/>
      <c r="O8" s="411"/>
    </row>
    <row r="9" spans="1:21">
      <c r="F9" s="488"/>
    </row>
    <row r="10" spans="1:21" ht="15">
      <c r="A10" s="514"/>
      <c r="B10" s="576" t="s">
        <v>954</v>
      </c>
      <c r="C10" s="515"/>
      <c r="D10" s="515"/>
      <c r="E10" s="515"/>
      <c r="F10" s="493"/>
      <c r="G10" s="182"/>
      <c r="H10" s="182"/>
      <c r="I10" s="182"/>
      <c r="J10" s="182"/>
      <c r="K10" s="182"/>
      <c r="L10" s="182"/>
      <c r="M10" s="493"/>
      <c r="N10" s="493"/>
      <c r="O10" s="575" t="s">
        <v>930</v>
      </c>
      <c r="P10" s="493"/>
      <c r="Q10" s="493"/>
      <c r="R10" s="493"/>
      <c r="S10" s="182"/>
      <c r="T10" s="422"/>
      <c r="U10" s="422"/>
    </row>
    <row r="11" spans="1:21" ht="15">
      <c r="A11" s="514"/>
      <c r="B11" s="576" t="s">
        <v>1033</v>
      </c>
      <c r="C11" s="515"/>
      <c r="D11" s="515"/>
      <c r="E11" s="515"/>
      <c r="F11" s="515"/>
      <c r="G11" s="516"/>
      <c r="H11" s="516"/>
      <c r="I11" s="516"/>
      <c r="J11" s="516"/>
      <c r="K11" s="516"/>
      <c r="L11" s="516"/>
      <c r="M11" s="493"/>
      <c r="N11" s="493"/>
      <c r="O11" s="516"/>
      <c r="P11" s="493"/>
      <c r="Q11" s="493"/>
      <c r="R11" s="493"/>
      <c r="S11" s="516"/>
      <c r="T11" s="422"/>
      <c r="U11" s="422"/>
    </row>
    <row r="12" spans="1:21" ht="15">
      <c r="A12" s="514"/>
      <c r="B12" s="577" t="s">
        <v>1225</v>
      </c>
      <c r="C12" s="515"/>
      <c r="D12" s="515"/>
      <c r="E12" s="515"/>
      <c r="F12" s="515"/>
      <c r="G12" s="515"/>
      <c r="H12" s="515"/>
      <c r="I12" s="515"/>
      <c r="J12" s="515"/>
      <c r="K12" s="515"/>
      <c r="L12" s="515"/>
      <c r="M12" s="493"/>
      <c r="N12" s="493"/>
      <c r="O12" s="493"/>
      <c r="P12" s="493"/>
      <c r="Q12" s="493"/>
      <c r="R12" s="493"/>
      <c r="S12" s="493"/>
      <c r="T12" s="422"/>
      <c r="U12" s="422"/>
    </row>
    <row r="13" spans="1:21" ht="15">
      <c r="A13" s="514"/>
      <c r="B13" s="577" t="s">
        <v>1093</v>
      </c>
      <c r="C13" s="515"/>
      <c r="D13" s="515"/>
      <c r="E13" s="515"/>
      <c r="F13" s="515"/>
      <c r="G13" s="515"/>
      <c r="H13" s="515"/>
      <c r="I13" s="515"/>
      <c r="J13" s="515"/>
      <c r="K13" s="515"/>
      <c r="L13" s="515"/>
      <c r="M13" s="493"/>
      <c r="N13" s="493"/>
      <c r="O13" s="493"/>
      <c r="P13" s="493"/>
      <c r="Q13" s="493"/>
      <c r="R13" s="493"/>
      <c r="S13" s="493"/>
      <c r="T13" s="422"/>
      <c r="U13" s="422"/>
    </row>
    <row r="14" spans="1:21">
      <c r="A14" s="514"/>
      <c r="B14" s="517"/>
      <c r="C14" s="515"/>
      <c r="D14" s="515"/>
      <c r="E14" s="515"/>
      <c r="F14" s="515"/>
      <c r="G14" s="515"/>
      <c r="H14" s="515"/>
      <c r="I14" s="515"/>
      <c r="J14" s="515"/>
      <c r="K14" s="515"/>
      <c r="L14" s="515"/>
      <c r="M14" s="493"/>
      <c r="N14" s="493"/>
      <c r="O14" s="493"/>
      <c r="P14" s="493"/>
      <c r="Q14" s="493"/>
      <c r="R14" s="493"/>
      <c r="S14" s="493"/>
      <c r="T14" s="422"/>
      <c r="U14" s="422"/>
    </row>
    <row r="15" spans="1:21">
      <c r="A15" s="514"/>
      <c r="B15" s="502"/>
      <c r="C15" s="515"/>
      <c r="D15" s="515"/>
      <c r="E15" s="515"/>
      <c r="F15" s="515"/>
      <c r="G15" s="602" t="s">
        <v>1226</v>
      </c>
      <c r="H15" s="515"/>
      <c r="I15" s="515"/>
      <c r="J15" s="515"/>
      <c r="K15" s="515"/>
      <c r="L15" s="515"/>
      <c r="M15" s="493"/>
      <c r="N15" s="493"/>
      <c r="O15" s="493"/>
      <c r="P15" s="493"/>
      <c r="Q15" s="493"/>
      <c r="R15" s="493"/>
      <c r="S15" s="493"/>
      <c r="T15" s="422"/>
      <c r="U15" s="422"/>
    </row>
    <row r="16" spans="1:21">
      <c r="A16" s="514"/>
      <c r="B16" s="517"/>
      <c r="C16" s="515"/>
      <c r="D16" s="515"/>
      <c r="E16" s="515"/>
      <c r="F16" s="515"/>
      <c r="G16" s="515"/>
      <c r="H16" s="515"/>
      <c r="I16" s="515"/>
      <c r="J16" s="515"/>
      <c r="K16" s="515"/>
      <c r="L16" s="515"/>
      <c r="M16" s="493"/>
      <c r="N16" s="493"/>
      <c r="O16" s="493"/>
      <c r="P16" s="493"/>
      <c r="Q16" s="493"/>
      <c r="R16" s="493"/>
      <c r="S16" s="493"/>
      <c r="T16" s="422"/>
      <c r="U16" s="422"/>
    </row>
    <row r="17" spans="1:21">
      <c r="A17" s="514"/>
      <c r="B17" s="493"/>
      <c r="C17" s="515"/>
      <c r="D17" s="515"/>
      <c r="E17" s="515"/>
      <c r="F17" s="515"/>
      <c r="G17" s="515"/>
      <c r="H17" s="602"/>
      <c r="I17" s="602"/>
      <c r="J17" s="602"/>
      <c r="K17" s="602"/>
      <c r="L17" s="602"/>
      <c r="M17" s="493"/>
      <c r="N17" s="493"/>
      <c r="O17" s="493"/>
      <c r="P17" s="493"/>
      <c r="Q17" s="493"/>
      <c r="R17" s="493"/>
      <c r="S17" s="493"/>
      <c r="T17" s="422"/>
      <c r="U17" s="422"/>
    </row>
    <row r="18" spans="1:21">
      <c r="A18" s="514"/>
      <c r="B18" s="493"/>
      <c r="C18" s="515"/>
      <c r="D18" s="515"/>
      <c r="E18" s="515"/>
      <c r="F18" s="515"/>
      <c r="G18" s="515"/>
      <c r="H18" s="515"/>
      <c r="I18" s="515"/>
      <c r="J18" s="515"/>
      <c r="K18" s="515"/>
      <c r="L18" s="515"/>
      <c r="M18" s="493"/>
      <c r="N18" s="493"/>
      <c r="O18" s="493"/>
      <c r="P18" s="493"/>
      <c r="Q18" s="493"/>
      <c r="R18" s="493"/>
      <c r="S18" s="493"/>
      <c r="T18" s="422"/>
      <c r="U18" s="422"/>
    </row>
    <row r="19" spans="1:21">
      <c r="A19" s="514"/>
      <c r="B19" s="18" t="s">
        <v>463</v>
      </c>
      <c r="C19" s="518" t="s">
        <v>464</v>
      </c>
      <c r="D19" s="518" t="s">
        <v>465</v>
      </c>
      <c r="E19" s="518" t="s">
        <v>466</v>
      </c>
      <c r="F19" s="518" t="s">
        <v>467</v>
      </c>
      <c r="G19" s="518" t="s">
        <v>468</v>
      </c>
      <c r="H19" s="518"/>
      <c r="I19" s="518" t="s">
        <v>998</v>
      </c>
      <c r="J19" s="518" t="s">
        <v>999</v>
      </c>
      <c r="K19" s="518" t="s">
        <v>1000</v>
      </c>
      <c r="L19" s="518"/>
      <c r="M19" s="18" t="s">
        <v>469</v>
      </c>
      <c r="N19" s="18" t="s">
        <v>470</v>
      </c>
      <c r="O19" s="18" t="s">
        <v>471</v>
      </c>
      <c r="P19" s="493"/>
      <c r="Q19" s="18" t="s">
        <v>472</v>
      </c>
      <c r="R19" s="18" t="s">
        <v>473</v>
      </c>
      <c r="S19" s="18" t="s">
        <v>474</v>
      </c>
      <c r="T19" s="422"/>
      <c r="U19" s="422"/>
    </row>
    <row r="20" spans="1:21">
      <c r="A20" s="514"/>
      <c r="B20" s="493"/>
      <c r="C20" s="515"/>
      <c r="D20" s="515"/>
      <c r="E20" s="515"/>
      <c r="F20" s="515"/>
      <c r="G20" s="515"/>
      <c r="H20" s="515"/>
      <c r="I20" s="515"/>
      <c r="J20" s="515"/>
      <c r="K20" s="515"/>
      <c r="L20" s="515"/>
      <c r="M20" s="493"/>
      <c r="N20" s="493"/>
      <c r="O20" s="493"/>
      <c r="P20" s="493"/>
      <c r="Q20" s="493"/>
      <c r="R20" s="493"/>
      <c r="S20" s="493"/>
      <c r="T20" s="422"/>
      <c r="U20" s="422"/>
    </row>
    <row r="21" spans="1:21">
      <c r="A21" s="514"/>
      <c r="B21" s="493"/>
      <c r="C21" s="519" t="s">
        <v>475</v>
      </c>
      <c r="D21" s="519"/>
      <c r="E21" s="520" t="s">
        <v>476</v>
      </c>
      <c r="F21" s="519"/>
      <c r="G21" s="521" t="s">
        <v>477</v>
      </c>
      <c r="H21" s="521"/>
      <c r="I21" s="522" t="s">
        <v>1001</v>
      </c>
      <c r="J21" s="519"/>
      <c r="K21" s="519"/>
      <c r="L21" s="521"/>
      <c r="M21" s="523" t="s">
        <v>1114</v>
      </c>
      <c r="N21" s="494"/>
      <c r="O21" s="494"/>
      <c r="P21" s="493"/>
      <c r="Q21" s="523" t="s">
        <v>1211</v>
      </c>
      <c r="R21" s="494"/>
      <c r="S21" s="494"/>
      <c r="T21" s="422"/>
      <c r="U21" s="422"/>
    </row>
    <row r="22" spans="1:21">
      <c r="A22" s="514"/>
      <c r="B22" s="493"/>
      <c r="C22" s="524"/>
      <c r="D22" s="524"/>
      <c r="E22" s="515"/>
      <c r="F22" s="515"/>
      <c r="G22" s="521" t="s">
        <v>478</v>
      </c>
      <c r="H22" s="521"/>
      <c r="I22" s="524"/>
      <c r="J22" s="524"/>
      <c r="K22" s="524"/>
      <c r="L22" s="521"/>
      <c r="M22" s="498"/>
      <c r="N22" s="498"/>
      <c r="O22" s="498"/>
      <c r="P22" s="493"/>
      <c r="Q22" s="498"/>
      <c r="R22" s="498"/>
      <c r="S22" s="498"/>
      <c r="T22" s="422"/>
      <c r="U22" s="422"/>
    </row>
    <row r="23" spans="1:21">
      <c r="A23" s="514"/>
      <c r="B23" s="493"/>
      <c r="C23" s="521" t="s">
        <v>479</v>
      </c>
      <c r="D23" s="521" t="s">
        <v>479</v>
      </c>
      <c r="E23" s="521" t="s">
        <v>479</v>
      </c>
      <c r="F23" s="521" t="s">
        <v>479</v>
      </c>
      <c r="G23" s="521" t="s">
        <v>480</v>
      </c>
      <c r="H23" s="521"/>
      <c r="I23" s="515"/>
      <c r="J23" s="515"/>
      <c r="K23" s="515"/>
      <c r="L23" s="521"/>
      <c r="M23" s="493"/>
      <c r="N23" s="493"/>
      <c r="O23" s="493"/>
      <c r="P23" s="493"/>
      <c r="Q23" s="493"/>
      <c r="R23" s="493"/>
      <c r="S23" s="493"/>
      <c r="T23" s="422"/>
      <c r="U23" s="422"/>
    </row>
    <row r="24" spans="1:21">
      <c r="A24" s="514"/>
      <c r="B24" s="18" t="s">
        <v>481</v>
      </c>
      <c r="C24" s="518" t="s">
        <v>1115</v>
      </c>
      <c r="D24" s="518" t="s">
        <v>1212</v>
      </c>
      <c r="E24" s="518" t="str">
        <f>C24</f>
        <v>OF 12-31-15</v>
      </c>
      <c r="F24" s="518" t="str">
        <f>D24</f>
        <v>OF 12-31-16</v>
      </c>
      <c r="G24" s="518" t="s">
        <v>482</v>
      </c>
      <c r="H24" s="518"/>
      <c r="I24" s="518" t="s">
        <v>483</v>
      </c>
      <c r="J24" s="518" t="s">
        <v>382</v>
      </c>
      <c r="K24" s="518" t="s">
        <v>383</v>
      </c>
      <c r="L24" s="518"/>
      <c r="M24" s="18" t="s">
        <v>483</v>
      </c>
      <c r="N24" s="18" t="s">
        <v>382</v>
      </c>
      <c r="O24" s="18" t="s">
        <v>383</v>
      </c>
      <c r="P24" s="493"/>
      <c r="Q24" s="18" t="s">
        <v>483</v>
      </c>
      <c r="R24" s="18" t="s">
        <v>382</v>
      </c>
      <c r="S24" s="18" t="s">
        <v>383</v>
      </c>
      <c r="T24" s="422"/>
      <c r="U24" s="422"/>
    </row>
    <row r="25" spans="1:21">
      <c r="A25" s="514"/>
      <c r="B25" s="493"/>
      <c r="C25" s="515"/>
      <c r="D25" s="515"/>
      <c r="E25" s="515"/>
      <c r="F25" s="515"/>
      <c r="G25" s="515"/>
      <c r="H25" s="515"/>
      <c r="I25" s="515"/>
      <c r="J25" s="515"/>
      <c r="K25" s="515"/>
      <c r="L25" s="515"/>
      <c r="M25" s="493"/>
      <c r="N25" s="493"/>
      <c r="O25" s="493"/>
      <c r="P25" s="493"/>
      <c r="Q25" s="493"/>
      <c r="R25" s="493"/>
      <c r="S25" s="493"/>
      <c r="T25" s="422"/>
      <c r="U25" s="422"/>
    </row>
    <row r="26" spans="1:21">
      <c r="A26" s="525">
        <v>1</v>
      </c>
      <c r="B26" s="512" t="s">
        <v>1034</v>
      </c>
      <c r="C26" s="499"/>
      <c r="D26" s="499"/>
      <c r="E26" s="499"/>
      <c r="F26" s="500"/>
      <c r="G26" s="499"/>
      <c r="H26" s="499"/>
      <c r="I26" s="499"/>
      <c r="J26" s="499"/>
      <c r="K26" s="499"/>
      <c r="L26" s="499"/>
      <c r="M26" s="499"/>
      <c r="N26" s="499"/>
      <c r="O26" s="499"/>
      <c r="P26" s="499"/>
      <c r="Q26" s="499"/>
      <c r="R26" s="499"/>
      <c r="S26" s="499"/>
      <c r="T26" s="422"/>
      <c r="U26" s="422"/>
    </row>
    <row r="27" spans="1:21">
      <c r="A27" s="525">
        <f t="shared" ref="A27:A90" si="0">A26+1</f>
        <v>2</v>
      </c>
      <c r="B27" s="499"/>
      <c r="C27" s="499"/>
      <c r="D27" s="499"/>
      <c r="E27" s="499"/>
      <c r="F27" s="499"/>
      <c r="G27" s="499"/>
      <c r="H27" s="499"/>
      <c r="I27" s="499"/>
      <c r="J27" s="499"/>
      <c r="K27" s="499"/>
      <c r="L27" s="499"/>
      <c r="M27" s="499"/>
      <c r="N27" s="499"/>
      <c r="O27" s="499"/>
      <c r="P27" s="499"/>
      <c r="Q27" s="499"/>
      <c r="R27" s="499"/>
      <c r="S27" s="499"/>
      <c r="T27" s="422"/>
      <c r="U27" s="422"/>
    </row>
    <row r="28" spans="1:21">
      <c r="A28" s="525">
        <f t="shared" si="0"/>
        <v>3</v>
      </c>
      <c r="B28" s="182" t="s">
        <v>1035</v>
      </c>
      <c r="C28" s="499">
        <f>SUM(M28:O28)</f>
        <v>11571209.75</v>
      </c>
      <c r="D28" s="499">
        <f>SUM(Q28:S28)</f>
        <v>4080666.75</v>
      </c>
      <c r="E28" s="499"/>
      <c r="F28" s="499"/>
      <c r="G28" s="499">
        <f>ROUND(SUM(C28:F28)/2,0)</f>
        <v>7825938</v>
      </c>
      <c r="H28" s="499"/>
      <c r="I28" s="499">
        <f t="shared" ref="I28:K43" si="1">(M28+Q28)/2</f>
        <v>7130510</v>
      </c>
      <c r="J28" s="499">
        <f t="shared" si="1"/>
        <v>10974</v>
      </c>
      <c r="K28" s="499">
        <f t="shared" si="1"/>
        <v>684454.25</v>
      </c>
      <c r="L28" s="499"/>
      <c r="M28" s="506">
        <v>10543865</v>
      </c>
      <c r="N28" s="506">
        <v>21948</v>
      </c>
      <c r="O28" s="506">
        <v>1005396.75</v>
      </c>
      <c r="P28" s="499"/>
      <c r="Q28" s="506">
        <v>3717155</v>
      </c>
      <c r="R28" s="506">
        <v>0</v>
      </c>
      <c r="S28" s="506">
        <v>363511.75</v>
      </c>
      <c r="T28" s="422"/>
      <c r="U28" s="422"/>
    </row>
    <row r="29" spans="1:21">
      <c r="A29" s="525">
        <f t="shared" si="0"/>
        <v>4</v>
      </c>
      <c r="B29" s="182" t="s">
        <v>1</v>
      </c>
      <c r="C29" s="499">
        <f>SUM(M29:O29)</f>
        <v>0</v>
      </c>
      <c r="D29" s="499">
        <f>SUM(Q29:S29)</f>
        <v>0</v>
      </c>
      <c r="E29" s="499"/>
      <c r="F29" s="499"/>
      <c r="G29" s="499">
        <f>ROUND(SUM(C29:F29)/2,0)</f>
        <v>0</v>
      </c>
      <c r="H29" s="499"/>
      <c r="I29" s="499">
        <f t="shared" si="1"/>
        <v>0</v>
      </c>
      <c r="J29" s="499">
        <f t="shared" si="1"/>
        <v>0</v>
      </c>
      <c r="K29" s="499">
        <f t="shared" si="1"/>
        <v>0</v>
      </c>
      <c r="L29" s="499"/>
      <c r="M29" s="506">
        <v>0</v>
      </c>
      <c r="N29" s="506">
        <v>0</v>
      </c>
      <c r="O29" s="506">
        <v>0</v>
      </c>
      <c r="P29" s="499"/>
      <c r="Q29" s="506">
        <v>0</v>
      </c>
      <c r="R29" s="506">
        <v>0</v>
      </c>
      <c r="S29" s="506">
        <v>0</v>
      </c>
      <c r="T29" s="422"/>
      <c r="U29" s="422"/>
    </row>
    <row r="30" spans="1:21">
      <c r="A30" s="525">
        <f t="shared" si="0"/>
        <v>5</v>
      </c>
      <c r="B30" s="499" t="s">
        <v>1036</v>
      </c>
      <c r="C30" s="499">
        <f t="shared" ref="C30:C76" si="2">SUM(M30:O30)</f>
        <v>75480807.850000009</v>
      </c>
      <c r="D30" s="499">
        <f t="shared" ref="D30:D93" si="3">SUM(Q30:S30)</f>
        <v>77963248.469999999</v>
      </c>
      <c r="E30" s="499"/>
      <c r="F30" s="499"/>
      <c r="G30" s="499">
        <f t="shared" ref="G30:G93" si="4">ROUND(SUM(C30:F30)/2,0)</f>
        <v>76722028</v>
      </c>
      <c r="H30" s="499"/>
      <c r="I30" s="499">
        <f t="shared" si="1"/>
        <v>52546658.414999999</v>
      </c>
      <c r="J30" s="499">
        <f t="shared" si="1"/>
        <v>19284610.635000002</v>
      </c>
      <c r="K30" s="499">
        <f t="shared" si="1"/>
        <v>4890759.1100000003</v>
      </c>
      <c r="L30" s="499"/>
      <c r="M30" s="506">
        <v>53273771.109999999</v>
      </c>
      <c r="N30" s="506">
        <v>17336520.600000001</v>
      </c>
      <c r="O30" s="506">
        <v>4870516.1400000006</v>
      </c>
      <c r="P30" s="499"/>
      <c r="Q30" s="506">
        <v>51819545.719999999</v>
      </c>
      <c r="R30" s="506">
        <v>21232700.670000002</v>
      </c>
      <c r="S30" s="506">
        <v>4911002.08</v>
      </c>
      <c r="T30" s="422"/>
      <c r="U30" s="422"/>
    </row>
    <row r="31" spans="1:21">
      <c r="A31" s="525">
        <f t="shared" si="0"/>
        <v>6</v>
      </c>
      <c r="B31" s="512" t="s">
        <v>1037</v>
      </c>
      <c r="C31" s="499">
        <f>SUM(M31:O31)</f>
        <v>0</v>
      </c>
      <c r="D31" s="499">
        <f>SUM(Q31:S31)</f>
        <v>0</v>
      </c>
      <c r="E31" s="499"/>
      <c r="F31" s="499"/>
      <c r="G31" s="499">
        <f>ROUND(SUM(C31:F31)/2,0)</f>
        <v>0</v>
      </c>
      <c r="H31" s="499"/>
      <c r="I31" s="499">
        <f t="shared" si="1"/>
        <v>0</v>
      </c>
      <c r="J31" s="499">
        <f t="shared" si="1"/>
        <v>0</v>
      </c>
      <c r="K31" s="499">
        <f t="shared" si="1"/>
        <v>0</v>
      </c>
      <c r="L31" s="499"/>
      <c r="M31" s="506">
        <v>0</v>
      </c>
      <c r="N31" s="506">
        <v>0</v>
      </c>
      <c r="O31" s="506">
        <v>0</v>
      </c>
      <c r="P31" s="499"/>
      <c r="Q31" s="506">
        <v>0</v>
      </c>
      <c r="R31" s="506">
        <v>0</v>
      </c>
      <c r="S31" s="506">
        <v>0</v>
      </c>
      <c r="T31" s="422"/>
      <c r="U31" s="422"/>
    </row>
    <row r="32" spans="1:21">
      <c r="A32" s="525">
        <f t="shared" si="0"/>
        <v>7</v>
      </c>
      <c r="B32" s="512" t="s">
        <v>1132</v>
      </c>
      <c r="C32" s="499">
        <f t="shared" si="2"/>
        <v>5713795.5</v>
      </c>
      <c r="D32" s="499">
        <f t="shared" si="3"/>
        <v>5329828.3500000006</v>
      </c>
      <c r="E32" s="499"/>
      <c r="F32" s="499"/>
      <c r="G32" s="499">
        <f t="shared" si="4"/>
        <v>5521812</v>
      </c>
      <c r="H32" s="499"/>
      <c r="I32" s="499">
        <f t="shared" si="1"/>
        <v>0</v>
      </c>
      <c r="J32" s="499">
        <f t="shared" si="1"/>
        <v>183890.84999999998</v>
      </c>
      <c r="K32" s="499">
        <f t="shared" si="1"/>
        <v>5337921.0750000002</v>
      </c>
      <c r="L32" s="499"/>
      <c r="M32" s="506">
        <v>0</v>
      </c>
      <c r="N32" s="506">
        <v>199643.3</v>
      </c>
      <c r="O32" s="506">
        <v>5514152.2000000002</v>
      </c>
      <c r="P32" s="499"/>
      <c r="Q32" s="506">
        <v>0</v>
      </c>
      <c r="R32" s="506">
        <v>168138.4</v>
      </c>
      <c r="S32" s="506">
        <v>5161689.95</v>
      </c>
      <c r="T32" s="422"/>
      <c r="U32" s="422"/>
    </row>
    <row r="33" spans="1:21">
      <c r="A33" s="525">
        <f t="shared" si="0"/>
        <v>8</v>
      </c>
      <c r="B33" s="512" t="s">
        <v>1133</v>
      </c>
      <c r="C33" s="499">
        <f t="shared" si="2"/>
        <v>484357.47</v>
      </c>
      <c r="D33" s="499">
        <f t="shared" si="3"/>
        <v>407381.27</v>
      </c>
      <c r="E33" s="499"/>
      <c r="F33" s="499"/>
      <c r="G33" s="499">
        <f t="shared" si="4"/>
        <v>445869</v>
      </c>
      <c r="H33" s="499"/>
      <c r="I33" s="499">
        <f t="shared" si="1"/>
        <v>0</v>
      </c>
      <c r="J33" s="499">
        <f t="shared" si="1"/>
        <v>445869.37</v>
      </c>
      <c r="K33" s="499">
        <f t="shared" si="1"/>
        <v>0</v>
      </c>
      <c r="L33" s="499"/>
      <c r="M33" s="506">
        <v>0</v>
      </c>
      <c r="N33" s="506">
        <v>484357.47</v>
      </c>
      <c r="O33" s="506">
        <v>0</v>
      </c>
      <c r="P33" s="499"/>
      <c r="Q33" s="506">
        <v>0</v>
      </c>
      <c r="R33" s="506">
        <v>407381.27</v>
      </c>
      <c r="S33" s="506">
        <v>0</v>
      </c>
      <c r="T33" s="422"/>
      <c r="U33" s="422"/>
    </row>
    <row r="34" spans="1:21">
      <c r="A34" s="525">
        <f t="shared" si="0"/>
        <v>9</v>
      </c>
      <c r="B34" s="512" t="s">
        <v>1134</v>
      </c>
      <c r="C34" s="499">
        <f t="shared" si="2"/>
        <v>2742902.63</v>
      </c>
      <c r="D34" s="499">
        <f t="shared" si="3"/>
        <v>2718798.83</v>
      </c>
      <c r="E34" s="499"/>
      <c r="F34" s="499"/>
      <c r="G34" s="499">
        <f t="shared" si="4"/>
        <v>2730851</v>
      </c>
      <c r="H34" s="499"/>
      <c r="I34" s="499">
        <f t="shared" si="1"/>
        <v>0</v>
      </c>
      <c r="J34" s="499">
        <f t="shared" si="1"/>
        <v>107167.05</v>
      </c>
      <c r="K34" s="499">
        <f t="shared" si="1"/>
        <v>2623683.6799999997</v>
      </c>
      <c r="L34" s="499"/>
      <c r="M34" s="506">
        <v>0</v>
      </c>
      <c r="N34" s="506">
        <v>112988.6</v>
      </c>
      <c r="O34" s="506">
        <v>2629914.0299999998</v>
      </c>
      <c r="P34" s="499"/>
      <c r="Q34" s="506">
        <v>0</v>
      </c>
      <c r="R34" s="506">
        <v>101345.5</v>
      </c>
      <c r="S34" s="506">
        <v>2617453.33</v>
      </c>
      <c r="T34" s="422"/>
      <c r="U34" s="422"/>
    </row>
    <row r="35" spans="1:21">
      <c r="A35" s="525">
        <f t="shared" si="0"/>
        <v>10</v>
      </c>
      <c r="B35" s="512" t="s">
        <v>1038</v>
      </c>
      <c r="C35" s="499">
        <f>SUM(M35:O35)</f>
        <v>0</v>
      </c>
      <c r="D35" s="499">
        <f>SUM(Q35:S35)</f>
        <v>0</v>
      </c>
      <c r="E35" s="499"/>
      <c r="F35" s="499"/>
      <c r="G35" s="499">
        <f>ROUND(SUM(C35:F35)/2,0)</f>
        <v>0</v>
      </c>
      <c r="H35" s="499"/>
      <c r="I35" s="499">
        <f t="shared" si="1"/>
        <v>0</v>
      </c>
      <c r="J35" s="499">
        <f t="shared" si="1"/>
        <v>0</v>
      </c>
      <c r="K35" s="499">
        <f t="shared" si="1"/>
        <v>0</v>
      </c>
      <c r="L35" s="499"/>
      <c r="M35" s="506">
        <v>0</v>
      </c>
      <c r="N35" s="506">
        <v>0</v>
      </c>
      <c r="O35" s="506">
        <v>0</v>
      </c>
      <c r="P35" s="499"/>
      <c r="Q35" s="506">
        <v>0</v>
      </c>
      <c r="R35" s="506">
        <v>0</v>
      </c>
      <c r="S35" s="506">
        <v>0</v>
      </c>
      <c r="T35" s="422"/>
      <c r="U35" s="422"/>
    </row>
    <row r="36" spans="1:21">
      <c r="A36" s="525">
        <f t="shared" si="0"/>
        <v>11</v>
      </c>
      <c r="B36" s="623" t="s">
        <v>1039</v>
      </c>
      <c r="C36" s="608">
        <f t="shared" si="2"/>
        <v>0</v>
      </c>
      <c r="D36" s="608">
        <f t="shared" si="3"/>
        <v>0</v>
      </c>
      <c r="E36" s="608"/>
      <c r="F36" s="608"/>
      <c r="G36" s="608">
        <f t="shared" si="4"/>
        <v>0</v>
      </c>
      <c r="H36" s="608"/>
      <c r="I36" s="608">
        <f t="shared" si="1"/>
        <v>0</v>
      </c>
      <c r="J36" s="608">
        <f t="shared" si="1"/>
        <v>0</v>
      </c>
      <c r="K36" s="608">
        <f t="shared" si="1"/>
        <v>0</v>
      </c>
      <c r="L36" s="608"/>
      <c r="M36" s="608">
        <v>0</v>
      </c>
      <c r="N36" s="608">
        <v>0</v>
      </c>
      <c r="O36" s="608">
        <v>0</v>
      </c>
      <c r="P36" s="608"/>
      <c r="Q36" s="608">
        <v>0</v>
      </c>
      <c r="R36" s="608">
        <v>0</v>
      </c>
      <c r="S36" s="608">
        <v>0</v>
      </c>
      <c r="T36" s="422"/>
      <c r="U36" s="422"/>
    </row>
    <row r="37" spans="1:21">
      <c r="A37" s="525">
        <f t="shared" si="0"/>
        <v>12</v>
      </c>
      <c r="B37" s="623" t="s">
        <v>1040</v>
      </c>
      <c r="C37" s="608">
        <f t="shared" si="2"/>
        <v>0</v>
      </c>
      <c r="D37" s="608">
        <f t="shared" si="3"/>
        <v>0</v>
      </c>
      <c r="E37" s="608"/>
      <c r="F37" s="608"/>
      <c r="G37" s="608">
        <f t="shared" si="4"/>
        <v>0</v>
      </c>
      <c r="H37" s="608"/>
      <c r="I37" s="608">
        <f t="shared" si="1"/>
        <v>0</v>
      </c>
      <c r="J37" s="608">
        <f t="shared" si="1"/>
        <v>0</v>
      </c>
      <c r="K37" s="608">
        <f t="shared" si="1"/>
        <v>0</v>
      </c>
      <c r="L37" s="608"/>
      <c r="M37" s="608">
        <v>0</v>
      </c>
      <c r="N37" s="608">
        <v>0</v>
      </c>
      <c r="O37" s="608">
        <v>0</v>
      </c>
      <c r="P37" s="608"/>
      <c r="Q37" s="608">
        <v>0</v>
      </c>
      <c r="R37" s="608">
        <v>0</v>
      </c>
      <c r="S37" s="608">
        <v>0</v>
      </c>
      <c r="T37" s="422"/>
      <c r="U37" s="422"/>
    </row>
    <row r="38" spans="1:21">
      <c r="A38" s="525">
        <f t="shared" si="0"/>
        <v>13</v>
      </c>
      <c r="B38" s="512" t="s">
        <v>1041</v>
      </c>
      <c r="C38" s="499">
        <f t="shared" si="2"/>
        <v>2099433.09</v>
      </c>
      <c r="D38" s="499">
        <f t="shared" si="3"/>
        <v>3254819.5799999996</v>
      </c>
      <c r="E38" s="499"/>
      <c r="F38" s="499"/>
      <c r="G38" s="499">
        <f t="shared" si="4"/>
        <v>2677126</v>
      </c>
      <c r="H38" s="499"/>
      <c r="I38" s="499">
        <f t="shared" si="1"/>
        <v>534371.04</v>
      </c>
      <c r="J38" s="499">
        <f t="shared" si="1"/>
        <v>2061731.4350000001</v>
      </c>
      <c r="K38" s="499">
        <f t="shared" si="1"/>
        <v>81023.86</v>
      </c>
      <c r="L38" s="499"/>
      <c r="M38" s="506">
        <v>370376.47</v>
      </c>
      <c r="N38" s="506">
        <v>1648034.91</v>
      </c>
      <c r="O38" s="506">
        <v>81021.710000000006</v>
      </c>
      <c r="P38" s="499"/>
      <c r="Q38" s="506">
        <v>698365.61</v>
      </c>
      <c r="R38" s="506">
        <v>2475427.96</v>
      </c>
      <c r="S38" s="506">
        <v>81026.009999999995</v>
      </c>
      <c r="T38" s="422"/>
      <c r="U38" s="422"/>
    </row>
    <row r="39" spans="1:21">
      <c r="A39" s="525">
        <f t="shared" si="0"/>
        <v>14</v>
      </c>
      <c r="B39" s="512" t="s">
        <v>1135</v>
      </c>
      <c r="C39" s="499">
        <f t="shared" si="2"/>
        <v>640.6</v>
      </c>
      <c r="D39" s="499">
        <f t="shared" si="3"/>
        <v>640.6</v>
      </c>
      <c r="E39" s="499"/>
      <c r="F39" s="499"/>
      <c r="G39" s="499">
        <f t="shared" si="4"/>
        <v>641</v>
      </c>
      <c r="H39" s="499"/>
      <c r="I39" s="499">
        <f t="shared" si="1"/>
        <v>0</v>
      </c>
      <c r="J39" s="499">
        <f t="shared" si="1"/>
        <v>0</v>
      </c>
      <c r="K39" s="499">
        <f t="shared" si="1"/>
        <v>640.6</v>
      </c>
      <c r="L39" s="499"/>
      <c r="M39" s="506">
        <v>0</v>
      </c>
      <c r="N39" s="506">
        <v>0</v>
      </c>
      <c r="O39" s="506">
        <v>640.6</v>
      </c>
      <c r="P39" s="499"/>
      <c r="Q39" s="506">
        <v>0</v>
      </c>
      <c r="R39" s="506">
        <v>0</v>
      </c>
      <c r="S39" s="506">
        <v>640.6</v>
      </c>
      <c r="T39" s="422"/>
      <c r="U39" s="422"/>
    </row>
    <row r="40" spans="1:21">
      <c r="A40" s="525">
        <f t="shared" si="0"/>
        <v>15</v>
      </c>
      <c r="B40" s="623" t="s">
        <v>1042</v>
      </c>
      <c r="C40" s="608">
        <f t="shared" si="2"/>
        <v>0</v>
      </c>
      <c r="D40" s="608">
        <f t="shared" si="3"/>
        <v>0</v>
      </c>
      <c r="E40" s="608"/>
      <c r="F40" s="608"/>
      <c r="G40" s="608">
        <f t="shared" si="4"/>
        <v>0</v>
      </c>
      <c r="H40" s="608"/>
      <c r="I40" s="608">
        <f t="shared" si="1"/>
        <v>0</v>
      </c>
      <c r="J40" s="608">
        <f t="shared" si="1"/>
        <v>0</v>
      </c>
      <c r="K40" s="608">
        <f t="shared" si="1"/>
        <v>0</v>
      </c>
      <c r="L40" s="608"/>
      <c r="M40" s="608">
        <v>0</v>
      </c>
      <c r="N40" s="608">
        <v>0</v>
      </c>
      <c r="O40" s="608">
        <v>0</v>
      </c>
      <c r="P40" s="608"/>
      <c r="Q40" s="608">
        <v>0</v>
      </c>
      <c r="R40" s="608">
        <v>0</v>
      </c>
      <c r="S40" s="608">
        <v>0</v>
      </c>
      <c r="T40" s="422"/>
      <c r="U40" s="422"/>
    </row>
    <row r="41" spans="1:21">
      <c r="A41" s="525">
        <f t="shared" si="0"/>
        <v>16</v>
      </c>
      <c r="B41" s="623" t="s">
        <v>1043</v>
      </c>
      <c r="C41" s="608">
        <f>SUM(M41:O41)</f>
        <v>-1257397.75</v>
      </c>
      <c r="D41" s="608">
        <f>SUM(Q41:S41)</f>
        <v>-727918.8</v>
      </c>
      <c r="E41" s="608"/>
      <c r="F41" s="608"/>
      <c r="G41" s="608">
        <f>ROUND(SUM(C41:F41)/2,0)</f>
        <v>-992658</v>
      </c>
      <c r="H41" s="608"/>
      <c r="I41" s="608">
        <f t="shared" si="1"/>
        <v>-992658.27500000002</v>
      </c>
      <c r="J41" s="608">
        <f t="shared" si="1"/>
        <v>0</v>
      </c>
      <c r="K41" s="608">
        <f t="shared" si="1"/>
        <v>0</v>
      </c>
      <c r="L41" s="608"/>
      <c r="M41" s="608">
        <v>-1257397.75</v>
      </c>
      <c r="N41" s="608">
        <v>0</v>
      </c>
      <c r="O41" s="608">
        <v>0</v>
      </c>
      <c r="P41" s="608"/>
      <c r="Q41" s="608">
        <v>-727918.8</v>
      </c>
      <c r="R41" s="608">
        <v>0</v>
      </c>
      <c r="S41" s="608">
        <v>0</v>
      </c>
      <c r="T41" s="422"/>
      <c r="U41" s="422"/>
    </row>
    <row r="42" spans="1:21">
      <c r="A42" s="525">
        <f t="shared" si="0"/>
        <v>17</v>
      </c>
      <c r="B42" s="624" t="s">
        <v>1136</v>
      </c>
      <c r="C42" s="604">
        <f t="shared" si="2"/>
        <v>123685.69</v>
      </c>
      <c r="D42" s="604">
        <f t="shared" si="3"/>
        <v>131890.91</v>
      </c>
      <c r="E42" s="604"/>
      <c r="F42" s="604"/>
      <c r="G42" s="604">
        <f t="shared" si="4"/>
        <v>127788</v>
      </c>
      <c r="H42" s="604"/>
      <c r="I42" s="604">
        <f t="shared" si="1"/>
        <v>88128.434999999998</v>
      </c>
      <c r="J42" s="604">
        <f t="shared" si="1"/>
        <v>9404.3300000000017</v>
      </c>
      <c r="K42" s="604">
        <f t="shared" si="1"/>
        <v>30255.535</v>
      </c>
      <c r="L42" s="604"/>
      <c r="M42" s="604">
        <v>86213.8</v>
      </c>
      <c r="N42" s="604">
        <v>9083.5400000000009</v>
      </c>
      <c r="O42" s="604">
        <v>28388.35</v>
      </c>
      <c r="P42" s="604"/>
      <c r="Q42" s="604">
        <v>90043.07</v>
      </c>
      <c r="R42" s="604">
        <v>9725.1200000000008</v>
      </c>
      <c r="S42" s="604">
        <v>32122.720000000001</v>
      </c>
      <c r="T42" s="422"/>
      <c r="U42" s="422"/>
    </row>
    <row r="43" spans="1:21">
      <c r="A43" s="525">
        <f t="shared" si="0"/>
        <v>18</v>
      </c>
      <c r="B43" s="624" t="s">
        <v>1137</v>
      </c>
      <c r="C43" s="604">
        <f t="shared" si="2"/>
        <v>-88786.91</v>
      </c>
      <c r="D43" s="604">
        <f t="shared" si="3"/>
        <v>-71650.539999999994</v>
      </c>
      <c r="E43" s="604"/>
      <c r="F43" s="604"/>
      <c r="G43" s="604">
        <f t="shared" si="4"/>
        <v>-80219</v>
      </c>
      <c r="H43" s="604"/>
      <c r="I43" s="604">
        <f t="shared" si="1"/>
        <v>263.08000000000004</v>
      </c>
      <c r="J43" s="604">
        <f t="shared" si="1"/>
        <v>0</v>
      </c>
      <c r="K43" s="604">
        <f t="shared" si="1"/>
        <v>-80481.804999999993</v>
      </c>
      <c r="L43" s="604"/>
      <c r="M43" s="604">
        <v>237</v>
      </c>
      <c r="N43" s="604">
        <v>0</v>
      </c>
      <c r="O43" s="604">
        <v>-89023.91</v>
      </c>
      <c r="P43" s="604"/>
      <c r="Q43" s="604">
        <v>289.16000000000003</v>
      </c>
      <c r="R43" s="604">
        <v>0</v>
      </c>
      <c r="S43" s="604">
        <v>-71939.7</v>
      </c>
      <c r="T43" s="422"/>
      <c r="U43" s="422"/>
    </row>
    <row r="44" spans="1:21">
      <c r="A44" s="525">
        <f t="shared" si="0"/>
        <v>19</v>
      </c>
      <c r="B44" s="624" t="s">
        <v>1138</v>
      </c>
      <c r="C44" s="604">
        <f>SUM(M44:O44)</f>
        <v>219608.19999999998</v>
      </c>
      <c r="D44" s="604">
        <f>SUM(Q44:S44)</f>
        <v>112074.2</v>
      </c>
      <c r="E44" s="604"/>
      <c r="F44" s="604"/>
      <c r="G44" s="604">
        <f>ROUND(SUM(C44:F44)/2,0)</f>
        <v>165841</v>
      </c>
      <c r="H44" s="604"/>
      <c r="I44" s="604">
        <f t="shared" ref="I44:K106" si="5">(M44+Q44)/2</f>
        <v>-42.875</v>
      </c>
      <c r="J44" s="604">
        <f t="shared" si="5"/>
        <v>0</v>
      </c>
      <c r="K44" s="604">
        <f t="shared" si="5"/>
        <v>165884.07500000001</v>
      </c>
      <c r="L44" s="604"/>
      <c r="M44" s="604">
        <v>-68.95</v>
      </c>
      <c r="N44" s="604">
        <v>0</v>
      </c>
      <c r="O44" s="604">
        <v>219677.15</v>
      </c>
      <c r="P44" s="604"/>
      <c r="Q44" s="604">
        <v>-16.8</v>
      </c>
      <c r="R44" s="604">
        <v>0</v>
      </c>
      <c r="S44" s="604">
        <v>112091</v>
      </c>
      <c r="T44" s="422"/>
      <c r="U44" s="422"/>
    </row>
    <row r="45" spans="1:21">
      <c r="A45" s="525">
        <f t="shared" si="0"/>
        <v>20</v>
      </c>
      <c r="B45" s="624" t="s">
        <v>1044</v>
      </c>
      <c r="C45" s="604">
        <f>SUM(M45:O45)</f>
        <v>202147.89</v>
      </c>
      <c r="D45" s="604">
        <f>SUM(Q45:S45)</f>
        <v>236110.21</v>
      </c>
      <c r="E45" s="604"/>
      <c r="F45" s="604"/>
      <c r="G45" s="604">
        <f>ROUND(SUM(C45:F45)/2,0)</f>
        <v>219129</v>
      </c>
      <c r="H45" s="604"/>
      <c r="I45" s="604">
        <f t="shared" si="5"/>
        <v>60891.270000000004</v>
      </c>
      <c r="J45" s="604">
        <f t="shared" si="5"/>
        <v>0</v>
      </c>
      <c r="K45" s="604">
        <f t="shared" si="5"/>
        <v>158237.78</v>
      </c>
      <c r="L45" s="604"/>
      <c r="M45" s="604">
        <v>59972.05</v>
      </c>
      <c r="N45" s="604">
        <v>0</v>
      </c>
      <c r="O45" s="604">
        <v>142175.84</v>
      </c>
      <c r="P45" s="604"/>
      <c r="Q45" s="604">
        <v>61810.49</v>
      </c>
      <c r="R45" s="604">
        <v>0</v>
      </c>
      <c r="S45" s="604">
        <v>174299.72</v>
      </c>
      <c r="T45" s="422"/>
      <c r="U45" s="422"/>
    </row>
    <row r="46" spans="1:21">
      <c r="A46" s="525">
        <f t="shared" si="0"/>
        <v>21</v>
      </c>
      <c r="B46" s="624" t="s">
        <v>1045</v>
      </c>
      <c r="C46" s="604">
        <f>SUM(M46:O46)</f>
        <v>0</v>
      </c>
      <c r="D46" s="604">
        <f>SUM(Q46:S46)</f>
        <v>0</v>
      </c>
      <c r="E46" s="604"/>
      <c r="F46" s="604"/>
      <c r="G46" s="604">
        <f>ROUND(SUM(C46:F46)/2,0)</f>
        <v>0</v>
      </c>
      <c r="H46" s="604"/>
      <c r="I46" s="604">
        <f t="shared" si="5"/>
        <v>0</v>
      </c>
      <c r="J46" s="604">
        <f t="shared" si="5"/>
        <v>0</v>
      </c>
      <c r="K46" s="604">
        <f t="shared" si="5"/>
        <v>0</v>
      </c>
      <c r="L46" s="604"/>
      <c r="M46" s="604">
        <v>0</v>
      </c>
      <c r="N46" s="604">
        <v>0</v>
      </c>
      <c r="O46" s="604">
        <v>0</v>
      </c>
      <c r="P46" s="604"/>
      <c r="Q46" s="604">
        <v>0</v>
      </c>
      <c r="R46" s="604">
        <v>0</v>
      </c>
      <c r="S46" s="604">
        <v>0</v>
      </c>
      <c r="T46" s="422"/>
      <c r="U46" s="422"/>
    </row>
    <row r="47" spans="1:21">
      <c r="A47" s="525">
        <f t="shared" si="0"/>
        <v>22</v>
      </c>
      <c r="B47" s="624" t="s">
        <v>1046</v>
      </c>
      <c r="C47" s="604">
        <f>SUM(M47:O47)</f>
        <v>2051495.13</v>
      </c>
      <c r="D47" s="604">
        <f>SUM(Q47:S47)</f>
        <v>2054266.0399999998</v>
      </c>
      <c r="E47" s="604"/>
      <c r="F47" s="604"/>
      <c r="G47" s="604">
        <f>ROUND(SUM(C47:F47)/2,0)</f>
        <v>2052881</v>
      </c>
      <c r="H47" s="604"/>
      <c r="I47" s="604">
        <f t="shared" si="5"/>
        <v>101117.30499999999</v>
      </c>
      <c r="J47" s="604">
        <f t="shared" si="5"/>
        <v>0</v>
      </c>
      <c r="K47" s="604">
        <f t="shared" si="5"/>
        <v>1951763.2799999998</v>
      </c>
      <c r="L47" s="604"/>
      <c r="M47" s="604">
        <v>100699.21</v>
      </c>
      <c r="N47" s="604">
        <v>0</v>
      </c>
      <c r="O47" s="604">
        <v>1950795.92</v>
      </c>
      <c r="P47" s="604"/>
      <c r="Q47" s="604">
        <v>101535.4</v>
      </c>
      <c r="R47" s="604">
        <v>0</v>
      </c>
      <c r="S47" s="604">
        <v>1952730.64</v>
      </c>
      <c r="T47" s="422"/>
      <c r="U47" s="422"/>
    </row>
    <row r="48" spans="1:21">
      <c r="A48" s="525">
        <f t="shared" si="0"/>
        <v>23</v>
      </c>
      <c r="B48" s="512" t="s">
        <v>1047</v>
      </c>
      <c r="C48" s="499">
        <f t="shared" si="2"/>
        <v>1140808.17</v>
      </c>
      <c r="D48" s="499">
        <f t="shared" si="3"/>
        <v>897553.96</v>
      </c>
      <c r="E48" s="499"/>
      <c r="F48" s="499"/>
      <c r="G48" s="499">
        <f t="shared" si="4"/>
        <v>1019181</v>
      </c>
      <c r="H48" s="499"/>
      <c r="I48" s="499">
        <f t="shared" si="5"/>
        <v>-341795.91</v>
      </c>
      <c r="J48" s="499">
        <f t="shared" si="5"/>
        <v>776.99</v>
      </c>
      <c r="K48" s="499">
        <f t="shared" si="5"/>
        <v>1360199.9849999999</v>
      </c>
      <c r="L48" s="499"/>
      <c r="M48" s="506">
        <v>-342671.35</v>
      </c>
      <c r="N48" s="506">
        <v>776.99</v>
      </c>
      <c r="O48" s="506">
        <v>1482702.53</v>
      </c>
      <c r="P48" s="499"/>
      <c r="Q48" s="506">
        <v>-340920.47</v>
      </c>
      <c r="R48" s="506">
        <v>776.99</v>
      </c>
      <c r="S48" s="506">
        <v>1237697.44</v>
      </c>
      <c r="T48" s="422"/>
      <c r="U48" s="422"/>
    </row>
    <row r="49" spans="1:21">
      <c r="A49" s="525">
        <f t="shared" si="0"/>
        <v>24</v>
      </c>
      <c r="B49" s="623" t="s">
        <v>1139</v>
      </c>
      <c r="C49" s="608">
        <f t="shared" si="2"/>
        <v>24916.85</v>
      </c>
      <c r="D49" s="608">
        <f t="shared" si="3"/>
        <v>1976.45</v>
      </c>
      <c r="E49" s="608"/>
      <c r="F49" s="608"/>
      <c r="G49" s="608">
        <f t="shared" si="4"/>
        <v>13447</v>
      </c>
      <c r="H49" s="608"/>
      <c r="I49" s="608">
        <f t="shared" si="5"/>
        <v>13446.65</v>
      </c>
      <c r="J49" s="608">
        <f t="shared" si="5"/>
        <v>0</v>
      </c>
      <c r="K49" s="608">
        <f t="shared" si="5"/>
        <v>0</v>
      </c>
      <c r="L49" s="608"/>
      <c r="M49" s="608">
        <v>24916.85</v>
      </c>
      <c r="N49" s="608">
        <v>0</v>
      </c>
      <c r="O49" s="608">
        <v>0</v>
      </c>
      <c r="P49" s="608"/>
      <c r="Q49" s="608">
        <v>1976.45</v>
      </c>
      <c r="R49" s="608">
        <v>0</v>
      </c>
      <c r="S49" s="608">
        <v>0</v>
      </c>
      <c r="T49" s="422"/>
      <c r="U49" s="422"/>
    </row>
    <row r="50" spans="1:21">
      <c r="A50" s="525">
        <f t="shared" si="0"/>
        <v>25</v>
      </c>
      <c r="B50" s="623" t="s">
        <v>1140</v>
      </c>
      <c r="C50" s="608">
        <f>SUM(M50:O50)</f>
        <v>-2114.35</v>
      </c>
      <c r="D50" s="608">
        <f>SUM(Q50:S50)</f>
        <v>-4.55</v>
      </c>
      <c r="E50" s="608"/>
      <c r="F50" s="608"/>
      <c r="G50" s="608">
        <f>ROUND(SUM(C50:F50)/2,0)</f>
        <v>-1059</v>
      </c>
      <c r="H50" s="608"/>
      <c r="I50" s="608">
        <f t="shared" si="5"/>
        <v>-1059.45</v>
      </c>
      <c r="J50" s="608">
        <f t="shared" si="5"/>
        <v>0</v>
      </c>
      <c r="K50" s="608">
        <f t="shared" si="5"/>
        <v>0</v>
      </c>
      <c r="L50" s="608"/>
      <c r="M50" s="608">
        <v>-2114.35</v>
      </c>
      <c r="N50" s="608">
        <v>0</v>
      </c>
      <c r="O50" s="608">
        <v>0</v>
      </c>
      <c r="P50" s="608"/>
      <c r="Q50" s="608">
        <v>-4.55</v>
      </c>
      <c r="R50" s="608">
        <v>0</v>
      </c>
      <c r="S50" s="608">
        <v>0</v>
      </c>
      <c r="T50" s="422"/>
      <c r="U50" s="422"/>
    </row>
    <row r="51" spans="1:21">
      <c r="A51" s="525">
        <f t="shared" si="0"/>
        <v>26</v>
      </c>
      <c r="B51" s="625" t="s">
        <v>1048</v>
      </c>
      <c r="C51" s="604">
        <f>SUM(M51:O51)</f>
        <v>0</v>
      </c>
      <c r="D51" s="604">
        <f>SUM(Q51:S51)</f>
        <v>0</v>
      </c>
      <c r="E51" s="604"/>
      <c r="F51" s="604"/>
      <c r="G51" s="604">
        <f>ROUND(SUM(C51:F51)/2,0)</f>
        <v>0</v>
      </c>
      <c r="H51" s="604"/>
      <c r="I51" s="604">
        <f t="shared" si="5"/>
        <v>0</v>
      </c>
      <c r="J51" s="604">
        <f t="shared" si="5"/>
        <v>0</v>
      </c>
      <c r="K51" s="604">
        <f t="shared" si="5"/>
        <v>0</v>
      </c>
      <c r="L51" s="604"/>
      <c r="M51" s="604">
        <v>0</v>
      </c>
      <c r="N51" s="604">
        <v>0</v>
      </c>
      <c r="O51" s="604">
        <v>0</v>
      </c>
      <c r="P51" s="604"/>
      <c r="Q51" s="604">
        <v>0</v>
      </c>
      <c r="R51" s="604">
        <v>0</v>
      </c>
      <c r="S51" s="604">
        <v>0</v>
      </c>
      <c r="T51" s="422"/>
      <c r="U51" s="422"/>
    </row>
    <row r="52" spans="1:21">
      <c r="A52" s="525">
        <f t="shared" si="0"/>
        <v>27</v>
      </c>
      <c r="B52" s="624" t="s">
        <v>1049</v>
      </c>
      <c r="C52" s="604">
        <f t="shared" si="2"/>
        <v>6185789.9100000001</v>
      </c>
      <c r="D52" s="604">
        <f t="shared" si="3"/>
        <v>5679373.29</v>
      </c>
      <c r="E52" s="604"/>
      <c r="F52" s="604"/>
      <c r="G52" s="604">
        <f t="shared" si="4"/>
        <v>5932582</v>
      </c>
      <c r="H52" s="604"/>
      <c r="I52" s="604">
        <f t="shared" si="5"/>
        <v>2489436.25</v>
      </c>
      <c r="J52" s="604">
        <f t="shared" si="5"/>
        <v>-56390.27</v>
      </c>
      <c r="K52" s="604">
        <f t="shared" si="5"/>
        <v>3499535.62</v>
      </c>
      <c r="L52" s="604"/>
      <c r="M52" s="604">
        <v>2451200.27</v>
      </c>
      <c r="N52" s="604">
        <v>-177048.37</v>
      </c>
      <c r="O52" s="604">
        <v>3911638.01</v>
      </c>
      <c r="P52" s="604"/>
      <c r="Q52" s="604">
        <v>2527672.23</v>
      </c>
      <c r="R52" s="604">
        <v>64267.83</v>
      </c>
      <c r="S52" s="604">
        <v>3087433.23</v>
      </c>
      <c r="T52" s="422"/>
      <c r="U52" s="422"/>
    </row>
    <row r="53" spans="1:21">
      <c r="A53" s="525">
        <f t="shared" si="0"/>
        <v>28</v>
      </c>
      <c r="B53" s="512" t="s">
        <v>1141</v>
      </c>
      <c r="C53" s="499">
        <f t="shared" si="2"/>
        <v>4200</v>
      </c>
      <c r="D53" s="499">
        <f t="shared" si="3"/>
        <v>4200</v>
      </c>
      <c r="E53" s="499"/>
      <c r="F53" s="499"/>
      <c r="G53" s="499">
        <f t="shared" si="4"/>
        <v>4200</v>
      </c>
      <c r="H53" s="499"/>
      <c r="I53" s="499">
        <f t="shared" si="5"/>
        <v>0</v>
      </c>
      <c r="J53" s="499">
        <f t="shared" si="5"/>
        <v>0</v>
      </c>
      <c r="K53" s="499">
        <f t="shared" si="5"/>
        <v>4200</v>
      </c>
      <c r="L53" s="499"/>
      <c r="M53" s="506">
        <v>0</v>
      </c>
      <c r="N53" s="506">
        <v>0</v>
      </c>
      <c r="O53" s="506">
        <v>4200</v>
      </c>
      <c r="P53" s="499"/>
      <c r="Q53" s="506">
        <v>0</v>
      </c>
      <c r="R53" s="506">
        <v>0</v>
      </c>
      <c r="S53" s="506">
        <v>4200</v>
      </c>
      <c r="T53" s="422"/>
      <c r="U53" s="422"/>
    </row>
    <row r="54" spans="1:21">
      <c r="A54" s="525">
        <f t="shared" si="0"/>
        <v>29</v>
      </c>
      <c r="B54" s="624" t="s">
        <v>1050</v>
      </c>
      <c r="C54" s="604">
        <f>SUM(M54:O54)</f>
        <v>2899862.82</v>
      </c>
      <c r="D54" s="604">
        <f>SUM(Q54:S54)</f>
        <v>3209995.16</v>
      </c>
      <c r="E54" s="604"/>
      <c r="F54" s="604"/>
      <c r="G54" s="604">
        <f>ROUND(SUM(C54:F54)/2,0)</f>
        <v>3054929</v>
      </c>
      <c r="H54" s="604"/>
      <c r="I54" s="604">
        <f t="shared" si="5"/>
        <v>1134462.5699999998</v>
      </c>
      <c r="J54" s="604">
        <f t="shared" si="5"/>
        <v>-123873.095</v>
      </c>
      <c r="K54" s="604">
        <f t="shared" si="5"/>
        <v>2044339.5150000001</v>
      </c>
      <c r="L54" s="604"/>
      <c r="M54" s="604">
        <v>1121790.3999999999</v>
      </c>
      <c r="N54" s="604">
        <v>-159743.99</v>
      </c>
      <c r="O54" s="604">
        <v>1937816.41</v>
      </c>
      <c r="P54" s="604"/>
      <c r="Q54" s="604">
        <v>1147134.74</v>
      </c>
      <c r="R54" s="604">
        <v>-88002.2</v>
      </c>
      <c r="S54" s="604">
        <v>2150862.62</v>
      </c>
      <c r="T54" s="422"/>
      <c r="U54" s="422"/>
    </row>
    <row r="55" spans="1:21">
      <c r="A55" s="525">
        <f t="shared" si="0"/>
        <v>30</v>
      </c>
      <c r="B55" s="624" t="s">
        <v>1051</v>
      </c>
      <c r="C55" s="604">
        <f t="shared" si="2"/>
        <v>440150.25999999995</v>
      </c>
      <c r="D55" s="604">
        <f t="shared" si="3"/>
        <v>475419.57</v>
      </c>
      <c r="E55" s="604"/>
      <c r="F55" s="604"/>
      <c r="G55" s="604">
        <f t="shared" si="4"/>
        <v>457785</v>
      </c>
      <c r="H55" s="604"/>
      <c r="I55" s="604">
        <f t="shared" si="5"/>
        <v>14265.2</v>
      </c>
      <c r="J55" s="604">
        <f t="shared" si="5"/>
        <v>0</v>
      </c>
      <c r="K55" s="604">
        <f t="shared" si="5"/>
        <v>443519.71499999997</v>
      </c>
      <c r="L55" s="604"/>
      <c r="M55" s="604">
        <v>13792.72</v>
      </c>
      <c r="N55" s="604">
        <v>0</v>
      </c>
      <c r="O55" s="604">
        <v>426357.54</v>
      </c>
      <c r="P55" s="604"/>
      <c r="Q55" s="604">
        <v>14737.68</v>
      </c>
      <c r="R55" s="604">
        <v>0</v>
      </c>
      <c r="S55" s="604">
        <v>460681.89</v>
      </c>
      <c r="T55" s="422"/>
      <c r="U55" s="422"/>
    </row>
    <row r="56" spans="1:21">
      <c r="A56" s="525">
        <f t="shared" si="0"/>
        <v>31</v>
      </c>
      <c r="B56" s="624" t="s">
        <v>1052</v>
      </c>
      <c r="C56" s="604">
        <f t="shared" si="2"/>
        <v>1094235.1399999999</v>
      </c>
      <c r="D56" s="604">
        <f t="shared" si="3"/>
        <v>342395.66</v>
      </c>
      <c r="E56" s="604"/>
      <c r="F56" s="604"/>
      <c r="G56" s="604">
        <f t="shared" si="4"/>
        <v>718315</v>
      </c>
      <c r="H56" s="604"/>
      <c r="I56" s="604">
        <f t="shared" si="5"/>
        <v>699765.39999999991</v>
      </c>
      <c r="J56" s="604">
        <f t="shared" si="5"/>
        <v>0</v>
      </c>
      <c r="K56" s="604">
        <f t="shared" si="5"/>
        <v>18550</v>
      </c>
      <c r="L56" s="604"/>
      <c r="M56" s="604">
        <v>1094235.1399999999</v>
      </c>
      <c r="N56" s="604">
        <v>0</v>
      </c>
      <c r="O56" s="604">
        <v>0</v>
      </c>
      <c r="P56" s="604"/>
      <c r="Q56" s="604">
        <v>305295.65999999997</v>
      </c>
      <c r="R56" s="604">
        <v>0</v>
      </c>
      <c r="S56" s="604">
        <v>37100</v>
      </c>
      <c r="T56" s="422"/>
      <c r="U56" s="422"/>
    </row>
    <row r="57" spans="1:21">
      <c r="A57" s="525">
        <f t="shared" si="0"/>
        <v>32</v>
      </c>
      <c r="B57" s="512" t="s">
        <v>1053</v>
      </c>
      <c r="C57" s="499">
        <f t="shared" si="2"/>
        <v>0</v>
      </c>
      <c r="D57" s="499">
        <f t="shared" si="3"/>
        <v>0</v>
      </c>
      <c r="E57" s="499"/>
      <c r="F57" s="499"/>
      <c r="G57" s="499">
        <f t="shared" si="4"/>
        <v>0</v>
      </c>
      <c r="H57" s="499"/>
      <c r="I57" s="499">
        <f t="shared" si="5"/>
        <v>0</v>
      </c>
      <c r="J57" s="499">
        <f t="shared" si="5"/>
        <v>0</v>
      </c>
      <c r="K57" s="499">
        <f t="shared" si="5"/>
        <v>0</v>
      </c>
      <c r="L57" s="499"/>
      <c r="M57" s="506">
        <v>0</v>
      </c>
      <c r="N57" s="506">
        <v>0</v>
      </c>
      <c r="O57" s="506">
        <v>0</v>
      </c>
      <c r="P57" s="499"/>
      <c r="Q57" s="506">
        <v>0</v>
      </c>
      <c r="R57" s="506">
        <v>0</v>
      </c>
      <c r="S57" s="506">
        <v>0</v>
      </c>
      <c r="T57" s="422"/>
      <c r="U57" s="422"/>
    </row>
    <row r="58" spans="1:21">
      <c r="A58" s="525">
        <f t="shared" si="0"/>
        <v>33</v>
      </c>
      <c r="B58" s="512" t="s">
        <v>1054</v>
      </c>
      <c r="C58" s="499">
        <f>SUM(M58:O58)</f>
        <v>-606976.75</v>
      </c>
      <c r="D58" s="499">
        <f>SUM(Q58:S58)</f>
        <v>-3835.4499999999825</v>
      </c>
      <c r="E58" s="499"/>
      <c r="F58" s="499"/>
      <c r="G58" s="499">
        <f>ROUND(SUM(C58:F58)/2,0)</f>
        <v>-305406</v>
      </c>
      <c r="H58" s="499"/>
      <c r="I58" s="499">
        <f t="shared" si="5"/>
        <v>-310449.44999999995</v>
      </c>
      <c r="J58" s="499">
        <f t="shared" si="5"/>
        <v>1864.75</v>
      </c>
      <c r="K58" s="499">
        <f t="shared" si="5"/>
        <v>3178.6000000000058</v>
      </c>
      <c r="L58" s="499"/>
      <c r="M58" s="506">
        <v>-609265.6</v>
      </c>
      <c r="N58" s="506">
        <v>1563.75</v>
      </c>
      <c r="O58" s="506">
        <v>725.10000000000582</v>
      </c>
      <c r="P58" s="499"/>
      <c r="Q58" s="506">
        <v>-11633.299999999988</v>
      </c>
      <c r="R58" s="506">
        <v>2165.75</v>
      </c>
      <c r="S58" s="506">
        <v>5632.1000000000058</v>
      </c>
      <c r="T58" s="422"/>
      <c r="U58" s="422"/>
    </row>
    <row r="59" spans="1:21">
      <c r="A59" s="525">
        <f t="shared" si="0"/>
        <v>34</v>
      </c>
      <c r="B59" s="512" t="s">
        <v>1055</v>
      </c>
      <c r="C59" s="499">
        <f>SUM(M59:O59)</f>
        <v>0</v>
      </c>
      <c r="D59" s="499">
        <f>SUM(Q59:S59)</f>
        <v>360.5</v>
      </c>
      <c r="E59" s="499"/>
      <c r="F59" s="499"/>
      <c r="G59" s="499">
        <f>ROUND(SUM(C59:F59)/2,0)</f>
        <v>180</v>
      </c>
      <c r="H59" s="499"/>
      <c r="I59" s="499">
        <f t="shared" si="5"/>
        <v>62.475000000000001</v>
      </c>
      <c r="J59" s="499">
        <f t="shared" si="5"/>
        <v>14</v>
      </c>
      <c r="K59" s="499">
        <f t="shared" si="5"/>
        <v>103.77500000000001</v>
      </c>
      <c r="L59" s="499"/>
      <c r="M59" s="506">
        <v>0</v>
      </c>
      <c r="N59" s="506">
        <v>0</v>
      </c>
      <c r="O59" s="506">
        <v>0</v>
      </c>
      <c r="P59" s="499"/>
      <c r="Q59" s="506">
        <v>124.95</v>
      </c>
      <c r="R59" s="506">
        <v>28</v>
      </c>
      <c r="S59" s="506">
        <v>207.55</v>
      </c>
      <c r="T59" s="422"/>
      <c r="U59" s="422"/>
    </row>
    <row r="60" spans="1:21">
      <c r="A60" s="525">
        <f t="shared" si="0"/>
        <v>35</v>
      </c>
      <c r="B60" s="512" t="s">
        <v>1142</v>
      </c>
      <c r="C60" s="499">
        <f t="shared" si="2"/>
        <v>49457.099999999977</v>
      </c>
      <c r="D60" s="499">
        <f t="shared" si="3"/>
        <v>49457.099999999977</v>
      </c>
      <c r="E60" s="499"/>
      <c r="F60" s="499"/>
      <c r="G60" s="499">
        <f t="shared" si="4"/>
        <v>49457</v>
      </c>
      <c r="H60" s="499"/>
      <c r="I60" s="499">
        <f t="shared" si="5"/>
        <v>0</v>
      </c>
      <c r="J60" s="499">
        <f t="shared" si="5"/>
        <v>-240348.5</v>
      </c>
      <c r="K60" s="499">
        <f t="shared" si="5"/>
        <v>289805.59999999998</v>
      </c>
      <c r="L60" s="499"/>
      <c r="M60" s="506">
        <v>0</v>
      </c>
      <c r="N60" s="506">
        <v>-240348.5</v>
      </c>
      <c r="O60" s="506">
        <v>289805.59999999998</v>
      </c>
      <c r="P60" s="499"/>
      <c r="Q60" s="506">
        <v>0</v>
      </c>
      <c r="R60" s="506">
        <v>-240348.5</v>
      </c>
      <c r="S60" s="506">
        <v>289805.59999999998</v>
      </c>
      <c r="T60" s="422"/>
      <c r="U60" s="422"/>
    </row>
    <row r="61" spans="1:21">
      <c r="A61" s="525">
        <f t="shared" si="0"/>
        <v>36</v>
      </c>
      <c r="B61" s="623" t="s">
        <v>1056</v>
      </c>
      <c r="C61" s="608">
        <f t="shared" si="2"/>
        <v>-177579.36</v>
      </c>
      <c r="D61" s="608">
        <f t="shared" si="3"/>
        <v>0</v>
      </c>
      <c r="E61" s="608"/>
      <c r="F61" s="608"/>
      <c r="G61" s="608">
        <f t="shared" si="4"/>
        <v>-88790</v>
      </c>
      <c r="H61" s="608"/>
      <c r="I61" s="608">
        <f t="shared" si="5"/>
        <v>-88789.68</v>
      </c>
      <c r="J61" s="608">
        <f t="shared" si="5"/>
        <v>0</v>
      </c>
      <c r="K61" s="608">
        <f t="shared" si="5"/>
        <v>0</v>
      </c>
      <c r="L61" s="608"/>
      <c r="M61" s="608">
        <v>-177579.36</v>
      </c>
      <c r="N61" s="608">
        <v>0</v>
      </c>
      <c r="O61" s="608">
        <v>0</v>
      </c>
      <c r="P61" s="608"/>
      <c r="Q61" s="608">
        <v>0</v>
      </c>
      <c r="R61" s="608">
        <v>0</v>
      </c>
      <c r="S61" s="608">
        <v>0</v>
      </c>
      <c r="T61" s="422"/>
      <c r="U61" s="422"/>
    </row>
    <row r="62" spans="1:21">
      <c r="A62" s="525">
        <f t="shared" si="0"/>
        <v>37</v>
      </c>
      <c r="B62" s="512" t="s">
        <v>1057</v>
      </c>
      <c r="C62" s="499">
        <f t="shared" si="2"/>
        <v>0</v>
      </c>
      <c r="D62" s="499">
        <f t="shared" si="3"/>
        <v>0</v>
      </c>
      <c r="E62" s="499"/>
      <c r="F62" s="499"/>
      <c r="G62" s="499">
        <f t="shared" si="4"/>
        <v>0</v>
      </c>
      <c r="H62" s="499"/>
      <c r="I62" s="499">
        <f t="shared" si="5"/>
        <v>0</v>
      </c>
      <c r="J62" s="499">
        <f t="shared" si="5"/>
        <v>0</v>
      </c>
      <c r="K62" s="499">
        <f t="shared" si="5"/>
        <v>0</v>
      </c>
      <c r="L62" s="499"/>
      <c r="M62" s="506">
        <v>0</v>
      </c>
      <c r="N62" s="506">
        <v>0</v>
      </c>
      <c r="O62" s="506">
        <v>0</v>
      </c>
      <c r="P62" s="499"/>
      <c r="Q62" s="506">
        <v>0</v>
      </c>
      <c r="R62" s="506">
        <v>0</v>
      </c>
      <c r="S62" s="506">
        <v>0</v>
      </c>
      <c r="T62" s="422"/>
      <c r="U62" s="422"/>
    </row>
    <row r="63" spans="1:21">
      <c r="A63" s="525">
        <f t="shared" si="0"/>
        <v>38</v>
      </c>
      <c r="B63" s="526" t="s">
        <v>1143</v>
      </c>
      <c r="C63" s="499">
        <f t="shared" si="2"/>
        <v>182467</v>
      </c>
      <c r="D63" s="499">
        <f t="shared" si="3"/>
        <v>182467</v>
      </c>
      <c r="E63" s="499"/>
      <c r="F63" s="499"/>
      <c r="G63" s="499">
        <f t="shared" si="4"/>
        <v>182467</v>
      </c>
      <c r="H63" s="499"/>
      <c r="I63" s="499">
        <f t="shared" si="5"/>
        <v>182467</v>
      </c>
      <c r="J63" s="499">
        <f t="shared" si="5"/>
        <v>0</v>
      </c>
      <c r="K63" s="499">
        <f t="shared" si="5"/>
        <v>0</v>
      </c>
      <c r="L63" s="499"/>
      <c r="M63" s="506">
        <v>182467</v>
      </c>
      <c r="N63" s="506">
        <v>0</v>
      </c>
      <c r="O63" s="506">
        <v>0</v>
      </c>
      <c r="P63" s="499"/>
      <c r="Q63" s="506">
        <v>182467</v>
      </c>
      <c r="R63" s="506">
        <v>0</v>
      </c>
      <c r="S63" s="506">
        <v>0</v>
      </c>
      <c r="T63" s="422"/>
      <c r="U63" s="422"/>
    </row>
    <row r="64" spans="1:21">
      <c r="A64" s="525">
        <f t="shared" si="0"/>
        <v>39</v>
      </c>
      <c r="B64" s="512" t="s">
        <v>1058</v>
      </c>
      <c r="C64" s="499">
        <f t="shared" ref="C64:C69" si="6">SUM(M64:O64)</f>
        <v>0</v>
      </c>
      <c r="D64" s="499">
        <f t="shared" si="3"/>
        <v>0</v>
      </c>
      <c r="E64" s="499"/>
      <c r="F64" s="499"/>
      <c r="G64" s="499">
        <f t="shared" si="4"/>
        <v>0</v>
      </c>
      <c r="H64" s="499"/>
      <c r="I64" s="499">
        <f t="shared" si="5"/>
        <v>0</v>
      </c>
      <c r="J64" s="499">
        <f t="shared" si="5"/>
        <v>0</v>
      </c>
      <c r="K64" s="499">
        <f t="shared" si="5"/>
        <v>0</v>
      </c>
      <c r="L64" s="499"/>
      <c r="M64" s="506">
        <v>0</v>
      </c>
      <c r="N64" s="506">
        <v>0</v>
      </c>
      <c r="O64" s="506">
        <v>0</v>
      </c>
      <c r="P64" s="499"/>
      <c r="Q64" s="506">
        <v>0</v>
      </c>
      <c r="R64" s="506">
        <v>0</v>
      </c>
      <c r="S64" s="506">
        <v>0</v>
      </c>
      <c r="T64" s="422"/>
      <c r="U64" s="422"/>
    </row>
    <row r="65" spans="1:21">
      <c r="A65" s="525">
        <f t="shared" si="0"/>
        <v>40</v>
      </c>
      <c r="B65" s="512" t="s">
        <v>1059</v>
      </c>
      <c r="C65" s="499">
        <f t="shared" si="6"/>
        <v>2141898.06</v>
      </c>
      <c r="D65" s="499">
        <f t="shared" si="3"/>
        <v>2141898.06</v>
      </c>
      <c r="E65" s="499"/>
      <c r="F65" s="499"/>
      <c r="G65" s="499">
        <f t="shared" si="4"/>
        <v>2141898</v>
      </c>
      <c r="H65" s="499"/>
      <c r="I65" s="499">
        <f t="shared" si="5"/>
        <v>2141898.06</v>
      </c>
      <c r="J65" s="499">
        <f t="shared" si="5"/>
        <v>0</v>
      </c>
      <c r="K65" s="499">
        <f t="shared" si="5"/>
        <v>0</v>
      </c>
      <c r="L65" s="499"/>
      <c r="M65" s="506">
        <v>2141898.06</v>
      </c>
      <c r="N65" s="506">
        <v>0</v>
      </c>
      <c r="O65" s="506">
        <v>0</v>
      </c>
      <c r="P65" s="499"/>
      <c r="Q65" s="506">
        <v>2141898.06</v>
      </c>
      <c r="R65" s="506">
        <v>0</v>
      </c>
      <c r="S65" s="506">
        <v>0</v>
      </c>
      <c r="T65" s="422"/>
      <c r="U65" s="422"/>
    </row>
    <row r="66" spans="1:21">
      <c r="A66" s="525">
        <f t="shared" si="0"/>
        <v>41</v>
      </c>
      <c r="B66" s="512" t="s">
        <v>1060</v>
      </c>
      <c r="C66" s="499">
        <f t="shared" si="6"/>
        <v>-0.19</v>
      </c>
      <c r="D66" s="499">
        <f t="shared" si="3"/>
        <v>-0.19</v>
      </c>
      <c r="E66" s="499"/>
      <c r="F66" s="499"/>
      <c r="G66" s="499">
        <f t="shared" si="4"/>
        <v>0</v>
      </c>
      <c r="H66" s="499"/>
      <c r="I66" s="499">
        <f t="shared" si="5"/>
        <v>-0.19</v>
      </c>
      <c r="J66" s="499">
        <f t="shared" si="5"/>
        <v>0</v>
      </c>
      <c r="K66" s="499">
        <f t="shared" si="5"/>
        <v>0</v>
      </c>
      <c r="L66" s="499"/>
      <c r="M66" s="506">
        <v>-0.19</v>
      </c>
      <c r="N66" s="506">
        <v>0</v>
      </c>
      <c r="O66" s="506">
        <v>0</v>
      </c>
      <c r="P66" s="499"/>
      <c r="Q66" s="506">
        <v>-0.19</v>
      </c>
      <c r="R66" s="506">
        <v>0</v>
      </c>
      <c r="S66" s="506">
        <v>0</v>
      </c>
      <c r="T66" s="422"/>
      <c r="U66" s="422"/>
    </row>
    <row r="67" spans="1:21">
      <c r="A67" s="525">
        <f t="shared" si="0"/>
        <v>42</v>
      </c>
      <c r="B67" s="512" t="s">
        <v>1061</v>
      </c>
      <c r="C67" s="499">
        <f t="shared" si="6"/>
        <v>0</v>
      </c>
      <c r="D67" s="499">
        <f t="shared" si="3"/>
        <v>0</v>
      </c>
      <c r="E67" s="499"/>
      <c r="F67" s="499"/>
      <c r="G67" s="499">
        <f t="shared" si="4"/>
        <v>0</v>
      </c>
      <c r="H67" s="499"/>
      <c r="I67" s="499">
        <f t="shared" si="5"/>
        <v>0</v>
      </c>
      <c r="J67" s="499">
        <f t="shared" si="5"/>
        <v>0</v>
      </c>
      <c r="K67" s="499">
        <f t="shared" si="5"/>
        <v>0</v>
      </c>
      <c r="L67" s="499"/>
      <c r="M67" s="506">
        <v>0</v>
      </c>
      <c r="N67" s="506">
        <v>0</v>
      </c>
      <c r="O67" s="506">
        <v>0</v>
      </c>
      <c r="P67" s="499"/>
      <c r="Q67" s="506">
        <v>0</v>
      </c>
      <c r="R67" s="506">
        <v>0</v>
      </c>
      <c r="S67" s="506">
        <v>0</v>
      </c>
      <c r="T67" s="422"/>
      <c r="U67" s="422"/>
    </row>
    <row r="68" spans="1:21">
      <c r="A68" s="525">
        <f t="shared" si="0"/>
        <v>43</v>
      </c>
      <c r="B68" s="512" t="s">
        <v>1062</v>
      </c>
      <c r="C68" s="499">
        <f t="shared" si="6"/>
        <v>0</v>
      </c>
      <c r="D68" s="499">
        <f t="shared" si="3"/>
        <v>0</v>
      </c>
      <c r="E68" s="499"/>
      <c r="F68" s="499"/>
      <c r="G68" s="499">
        <f t="shared" si="4"/>
        <v>0</v>
      </c>
      <c r="H68" s="499"/>
      <c r="I68" s="499">
        <f t="shared" si="5"/>
        <v>0</v>
      </c>
      <c r="J68" s="499">
        <f t="shared" si="5"/>
        <v>0</v>
      </c>
      <c r="K68" s="499">
        <f t="shared" si="5"/>
        <v>0</v>
      </c>
      <c r="L68" s="499"/>
      <c r="M68" s="506">
        <v>0</v>
      </c>
      <c r="N68" s="506">
        <v>0</v>
      </c>
      <c r="O68" s="506">
        <v>0</v>
      </c>
      <c r="P68" s="499"/>
      <c r="Q68" s="506">
        <v>0</v>
      </c>
      <c r="R68" s="506">
        <v>0</v>
      </c>
      <c r="S68" s="506">
        <v>0</v>
      </c>
      <c r="T68" s="422"/>
      <c r="U68" s="422"/>
    </row>
    <row r="69" spans="1:21">
      <c r="A69" s="525">
        <f t="shared" si="0"/>
        <v>44</v>
      </c>
      <c r="B69" s="623" t="s">
        <v>1063</v>
      </c>
      <c r="C69" s="608">
        <f t="shared" si="6"/>
        <v>371202.52</v>
      </c>
      <c r="D69" s="608">
        <f t="shared" si="3"/>
        <v>330346.96000000002</v>
      </c>
      <c r="E69" s="608"/>
      <c r="F69" s="608"/>
      <c r="G69" s="608">
        <f t="shared" si="4"/>
        <v>350775</v>
      </c>
      <c r="H69" s="608"/>
      <c r="I69" s="608">
        <f t="shared" si="5"/>
        <v>0</v>
      </c>
      <c r="J69" s="608">
        <f t="shared" si="5"/>
        <v>350774.74</v>
      </c>
      <c r="K69" s="608">
        <f t="shared" si="5"/>
        <v>0</v>
      </c>
      <c r="L69" s="608"/>
      <c r="M69" s="608">
        <v>0</v>
      </c>
      <c r="N69" s="608">
        <v>371202.52</v>
      </c>
      <c r="O69" s="608">
        <v>0</v>
      </c>
      <c r="P69" s="608"/>
      <c r="Q69" s="608">
        <v>0</v>
      </c>
      <c r="R69" s="608">
        <v>330346.96000000002</v>
      </c>
      <c r="S69" s="608">
        <v>0</v>
      </c>
      <c r="T69" s="422"/>
      <c r="U69" s="422"/>
    </row>
    <row r="70" spans="1:21">
      <c r="A70" s="525">
        <f t="shared" si="0"/>
        <v>45</v>
      </c>
      <c r="B70" s="512" t="s">
        <v>1064</v>
      </c>
      <c r="C70" s="499">
        <f t="shared" si="2"/>
        <v>0</v>
      </c>
      <c r="D70" s="499">
        <f t="shared" si="3"/>
        <v>0</v>
      </c>
      <c r="E70" s="499"/>
      <c r="F70" s="499"/>
      <c r="G70" s="499">
        <f t="shared" si="4"/>
        <v>0</v>
      </c>
      <c r="H70" s="499"/>
      <c r="I70" s="499">
        <f t="shared" si="5"/>
        <v>0</v>
      </c>
      <c r="J70" s="499">
        <f t="shared" si="5"/>
        <v>0</v>
      </c>
      <c r="K70" s="499">
        <f t="shared" si="5"/>
        <v>0</v>
      </c>
      <c r="L70" s="499"/>
      <c r="M70" s="506">
        <v>0</v>
      </c>
      <c r="N70" s="506">
        <v>0</v>
      </c>
      <c r="O70" s="506">
        <v>0</v>
      </c>
      <c r="P70" s="499"/>
      <c r="Q70" s="506">
        <v>0</v>
      </c>
      <c r="R70" s="506">
        <v>0</v>
      </c>
      <c r="S70" s="506">
        <v>0</v>
      </c>
      <c r="T70" s="422"/>
      <c r="U70" s="422"/>
    </row>
    <row r="71" spans="1:21">
      <c r="A71" s="525">
        <f t="shared" si="0"/>
        <v>46</v>
      </c>
      <c r="B71" s="512" t="s">
        <v>1144</v>
      </c>
      <c r="C71" s="499">
        <f t="shared" si="2"/>
        <v>13422</v>
      </c>
      <c r="D71" s="499">
        <f t="shared" si="3"/>
        <v>13325.7</v>
      </c>
      <c r="E71" s="499"/>
      <c r="F71" s="499"/>
      <c r="G71" s="499">
        <f t="shared" si="4"/>
        <v>13374</v>
      </c>
      <c r="H71" s="499"/>
      <c r="I71" s="499">
        <f t="shared" si="5"/>
        <v>13373.85</v>
      </c>
      <c r="J71" s="499">
        <f t="shared" si="5"/>
        <v>0</v>
      </c>
      <c r="K71" s="499">
        <f t="shared" si="5"/>
        <v>0</v>
      </c>
      <c r="L71" s="499"/>
      <c r="M71" s="506">
        <v>13422</v>
      </c>
      <c r="N71" s="506">
        <v>0</v>
      </c>
      <c r="O71" s="506">
        <v>0</v>
      </c>
      <c r="P71" s="499"/>
      <c r="Q71" s="506">
        <v>13325.7</v>
      </c>
      <c r="R71" s="506">
        <v>0</v>
      </c>
      <c r="S71" s="506">
        <v>0</v>
      </c>
      <c r="T71" s="422"/>
      <c r="U71" s="422"/>
    </row>
    <row r="72" spans="1:21">
      <c r="A72" s="525">
        <f t="shared" si="0"/>
        <v>47</v>
      </c>
      <c r="B72" s="512" t="s">
        <v>1145</v>
      </c>
      <c r="C72" s="499">
        <f t="shared" si="2"/>
        <v>15660</v>
      </c>
      <c r="D72" s="499">
        <f t="shared" si="3"/>
        <v>15547.64</v>
      </c>
      <c r="E72" s="499"/>
      <c r="F72" s="499"/>
      <c r="G72" s="499">
        <f t="shared" si="4"/>
        <v>15604</v>
      </c>
      <c r="H72" s="499"/>
      <c r="I72" s="499">
        <f t="shared" si="5"/>
        <v>15603.82</v>
      </c>
      <c r="J72" s="499">
        <f t="shared" si="5"/>
        <v>0</v>
      </c>
      <c r="K72" s="499">
        <f t="shared" si="5"/>
        <v>0</v>
      </c>
      <c r="L72" s="499"/>
      <c r="M72" s="506">
        <v>15660</v>
      </c>
      <c r="N72" s="506">
        <v>0</v>
      </c>
      <c r="O72" s="506">
        <v>0</v>
      </c>
      <c r="P72" s="499"/>
      <c r="Q72" s="506">
        <v>15547.64</v>
      </c>
      <c r="R72" s="506">
        <v>0</v>
      </c>
      <c r="S72" s="506">
        <v>0</v>
      </c>
      <c r="T72" s="422"/>
      <c r="U72" s="422"/>
    </row>
    <row r="73" spans="1:21">
      <c r="A73" s="525">
        <f t="shared" si="0"/>
        <v>48</v>
      </c>
      <c r="B73" s="512" t="s">
        <v>1146</v>
      </c>
      <c r="C73" s="499">
        <f t="shared" si="2"/>
        <v>99325</v>
      </c>
      <c r="D73" s="499">
        <f t="shared" si="3"/>
        <v>98612.37</v>
      </c>
      <c r="E73" s="499"/>
      <c r="F73" s="499"/>
      <c r="G73" s="499">
        <f t="shared" si="4"/>
        <v>98969</v>
      </c>
      <c r="H73" s="499"/>
      <c r="I73" s="499">
        <f t="shared" si="5"/>
        <v>98968.684999999998</v>
      </c>
      <c r="J73" s="499">
        <f t="shared" si="5"/>
        <v>0</v>
      </c>
      <c r="K73" s="499">
        <f t="shared" si="5"/>
        <v>0</v>
      </c>
      <c r="L73" s="499"/>
      <c r="M73" s="506">
        <v>99325</v>
      </c>
      <c r="N73" s="506">
        <v>0</v>
      </c>
      <c r="O73" s="506">
        <v>0</v>
      </c>
      <c r="P73" s="499"/>
      <c r="Q73" s="506">
        <v>98612.37</v>
      </c>
      <c r="R73" s="506">
        <v>0</v>
      </c>
      <c r="S73" s="506">
        <v>0</v>
      </c>
      <c r="T73" s="422"/>
      <c r="U73" s="422"/>
    </row>
    <row r="74" spans="1:21">
      <c r="A74" s="525">
        <f t="shared" si="0"/>
        <v>49</v>
      </c>
      <c r="B74" s="512" t="s">
        <v>1147</v>
      </c>
      <c r="C74" s="499">
        <f t="shared" si="2"/>
        <v>6218</v>
      </c>
      <c r="D74" s="499">
        <f t="shared" si="3"/>
        <v>6173.39</v>
      </c>
      <c r="E74" s="499"/>
      <c r="F74" s="499"/>
      <c r="G74" s="499">
        <f t="shared" si="4"/>
        <v>6196</v>
      </c>
      <c r="H74" s="499"/>
      <c r="I74" s="499">
        <f t="shared" si="5"/>
        <v>6195.6949999999997</v>
      </c>
      <c r="J74" s="499">
        <f t="shared" si="5"/>
        <v>0</v>
      </c>
      <c r="K74" s="499">
        <f t="shared" si="5"/>
        <v>0</v>
      </c>
      <c r="L74" s="499"/>
      <c r="M74" s="506">
        <v>6218</v>
      </c>
      <c r="N74" s="506">
        <v>0</v>
      </c>
      <c r="O74" s="506">
        <v>0</v>
      </c>
      <c r="P74" s="499"/>
      <c r="Q74" s="506">
        <v>6173.39</v>
      </c>
      <c r="R74" s="506">
        <v>0</v>
      </c>
      <c r="S74" s="506">
        <v>0</v>
      </c>
      <c r="T74" s="422"/>
      <c r="U74" s="422"/>
    </row>
    <row r="75" spans="1:21">
      <c r="A75" s="525">
        <f t="shared" si="0"/>
        <v>50</v>
      </c>
      <c r="B75" s="526" t="s">
        <v>1148</v>
      </c>
      <c r="C75" s="499">
        <f>SUM(M75:O75)</f>
        <v>160441</v>
      </c>
      <c r="D75" s="499">
        <f>SUM(Q75:S75)</f>
        <v>160441</v>
      </c>
      <c r="E75" s="499"/>
      <c r="F75" s="499"/>
      <c r="G75" s="499">
        <f>ROUND(SUM(C75:F75)/2,0)</f>
        <v>160441</v>
      </c>
      <c r="H75" s="499"/>
      <c r="I75" s="499">
        <f t="shared" si="5"/>
        <v>160441</v>
      </c>
      <c r="J75" s="499">
        <f t="shared" si="5"/>
        <v>0</v>
      </c>
      <c r="K75" s="499">
        <f t="shared" si="5"/>
        <v>0</v>
      </c>
      <c r="L75" s="499"/>
      <c r="M75" s="506">
        <v>160441</v>
      </c>
      <c r="N75" s="506">
        <v>0</v>
      </c>
      <c r="O75" s="506">
        <v>0</v>
      </c>
      <c r="P75" s="499"/>
      <c r="Q75" s="506">
        <v>160441</v>
      </c>
      <c r="R75" s="506">
        <v>0</v>
      </c>
      <c r="S75" s="506">
        <v>0</v>
      </c>
      <c r="T75" s="422"/>
      <c r="U75" s="422"/>
    </row>
    <row r="76" spans="1:21">
      <c r="A76" s="525">
        <f t="shared" si="0"/>
        <v>51</v>
      </c>
      <c r="B76" s="623" t="s">
        <v>1065</v>
      </c>
      <c r="C76" s="608">
        <f t="shared" si="2"/>
        <v>380022.85</v>
      </c>
      <c r="D76" s="608">
        <f t="shared" si="3"/>
        <v>380022.85</v>
      </c>
      <c r="E76" s="608"/>
      <c r="F76" s="608"/>
      <c r="G76" s="608">
        <f t="shared" si="4"/>
        <v>380023</v>
      </c>
      <c r="H76" s="608"/>
      <c r="I76" s="608">
        <f t="shared" si="5"/>
        <v>380022.85</v>
      </c>
      <c r="J76" s="608">
        <f t="shared" si="5"/>
        <v>0</v>
      </c>
      <c r="K76" s="608">
        <f t="shared" si="5"/>
        <v>0</v>
      </c>
      <c r="L76" s="608"/>
      <c r="M76" s="608">
        <v>380022.85</v>
      </c>
      <c r="N76" s="608">
        <v>0</v>
      </c>
      <c r="O76" s="608">
        <v>0</v>
      </c>
      <c r="P76" s="608"/>
      <c r="Q76" s="608">
        <v>380022.85</v>
      </c>
      <c r="R76" s="608">
        <v>0</v>
      </c>
      <c r="S76" s="608">
        <v>0</v>
      </c>
      <c r="T76" s="422"/>
      <c r="U76" s="422"/>
    </row>
    <row r="77" spans="1:21">
      <c r="A77" s="525">
        <f t="shared" si="0"/>
        <v>52</v>
      </c>
      <c r="B77" s="623" t="s">
        <v>1149</v>
      </c>
      <c r="C77" s="608">
        <f t="shared" ref="C77:C92" si="7">SUM(M77:O77)</f>
        <v>-125145</v>
      </c>
      <c r="D77" s="608">
        <f t="shared" si="3"/>
        <v>-125145</v>
      </c>
      <c r="E77" s="608"/>
      <c r="F77" s="608"/>
      <c r="G77" s="608">
        <f t="shared" si="4"/>
        <v>-125145</v>
      </c>
      <c r="H77" s="608"/>
      <c r="I77" s="608">
        <f t="shared" si="5"/>
        <v>-125145</v>
      </c>
      <c r="J77" s="608">
        <f t="shared" si="5"/>
        <v>0</v>
      </c>
      <c r="K77" s="608">
        <f t="shared" si="5"/>
        <v>0</v>
      </c>
      <c r="L77" s="608"/>
      <c r="M77" s="608">
        <v>-125145</v>
      </c>
      <c r="N77" s="608">
        <v>0</v>
      </c>
      <c r="O77" s="608">
        <v>0</v>
      </c>
      <c r="P77" s="608"/>
      <c r="Q77" s="608">
        <v>-125145</v>
      </c>
      <c r="R77" s="608">
        <v>0</v>
      </c>
      <c r="S77" s="608">
        <v>0</v>
      </c>
      <c r="T77" s="422"/>
      <c r="U77" s="422"/>
    </row>
    <row r="78" spans="1:21">
      <c r="A78" s="525">
        <f t="shared" si="0"/>
        <v>53</v>
      </c>
      <c r="B78" s="512" t="s">
        <v>1066</v>
      </c>
      <c r="C78" s="499">
        <f t="shared" si="7"/>
        <v>724476.38</v>
      </c>
      <c r="D78" s="499">
        <f t="shared" si="3"/>
        <v>663751.01</v>
      </c>
      <c r="E78" s="499"/>
      <c r="F78" s="499"/>
      <c r="G78" s="499">
        <f t="shared" si="4"/>
        <v>694114</v>
      </c>
      <c r="H78" s="499"/>
      <c r="I78" s="499">
        <f t="shared" si="5"/>
        <v>0</v>
      </c>
      <c r="J78" s="499">
        <f t="shared" si="5"/>
        <v>0</v>
      </c>
      <c r="K78" s="499">
        <f t="shared" si="5"/>
        <v>694113.69500000007</v>
      </c>
      <c r="L78" s="499"/>
      <c r="M78" s="506">
        <v>0</v>
      </c>
      <c r="N78" s="506">
        <v>0</v>
      </c>
      <c r="O78" s="506">
        <v>724476.38</v>
      </c>
      <c r="P78" s="499"/>
      <c r="Q78" s="506">
        <v>0</v>
      </c>
      <c r="R78" s="506">
        <v>0</v>
      </c>
      <c r="S78" s="506">
        <v>663751.01</v>
      </c>
      <c r="T78" s="422"/>
      <c r="U78" s="422"/>
    </row>
    <row r="79" spans="1:21">
      <c r="A79" s="525">
        <f t="shared" si="0"/>
        <v>54</v>
      </c>
      <c r="B79" s="512" t="s">
        <v>1067</v>
      </c>
      <c r="C79" s="499">
        <f t="shared" si="7"/>
        <v>451167.98</v>
      </c>
      <c r="D79" s="499">
        <f>SUM(Q79:S79)</f>
        <v>386715.49</v>
      </c>
      <c r="E79" s="499"/>
      <c r="F79" s="499"/>
      <c r="G79" s="499">
        <f>ROUND(SUM(C79:F79)/2,0)</f>
        <v>418942</v>
      </c>
      <c r="H79" s="499"/>
      <c r="I79" s="499">
        <f t="shared" si="5"/>
        <v>0</v>
      </c>
      <c r="J79" s="499">
        <f t="shared" si="5"/>
        <v>418941.73499999999</v>
      </c>
      <c r="K79" s="499">
        <f t="shared" si="5"/>
        <v>0</v>
      </c>
      <c r="L79" s="499"/>
      <c r="M79" s="506">
        <v>0</v>
      </c>
      <c r="N79" s="506">
        <v>451167.98</v>
      </c>
      <c r="O79" s="506">
        <v>0</v>
      </c>
      <c r="P79" s="499"/>
      <c r="Q79" s="506">
        <v>0</v>
      </c>
      <c r="R79" s="506">
        <v>386715.49</v>
      </c>
      <c r="S79" s="506">
        <v>0</v>
      </c>
      <c r="T79" s="422"/>
      <c r="U79" s="422"/>
    </row>
    <row r="80" spans="1:21">
      <c r="A80" s="525">
        <f t="shared" si="0"/>
        <v>55</v>
      </c>
      <c r="B80" s="623" t="s">
        <v>1150</v>
      </c>
      <c r="C80" s="608">
        <f t="shared" si="7"/>
        <v>2927476.6</v>
      </c>
      <c r="D80" s="608">
        <f t="shared" si="3"/>
        <v>316477.84000000003</v>
      </c>
      <c r="E80" s="608"/>
      <c r="F80" s="608"/>
      <c r="G80" s="608">
        <f t="shared" si="4"/>
        <v>1621977</v>
      </c>
      <c r="H80" s="608"/>
      <c r="I80" s="608">
        <f t="shared" si="5"/>
        <v>1621977.22</v>
      </c>
      <c r="J80" s="608">
        <f t="shared" si="5"/>
        <v>0</v>
      </c>
      <c r="K80" s="608">
        <f t="shared" si="5"/>
        <v>0</v>
      </c>
      <c r="L80" s="608"/>
      <c r="M80" s="608">
        <v>2927476.6</v>
      </c>
      <c r="N80" s="608">
        <v>0</v>
      </c>
      <c r="O80" s="608">
        <v>0</v>
      </c>
      <c r="P80" s="608"/>
      <c r="Q80" s="608">
        <v>316477.84000000003</v>
      </c>
      <c r="R80" s="608">
        <v>0</v>
      </c>
      <c r="S80" s="608">
        <v>0</v>
      </c>
      <c r="T80" s="422"/>
      <c r="U80" s="422"/>
    </row>
    <row r="81" spans="1:21">
      <c r="A81" s="525">
        <f t="shared" si="0"/>
        <v>56</v>
      </c>
      <c r="B81" s="512" t="s">
        <v>1151</v>
      </c>
      <c r="C81" s="499">
        <f t="shared" si="7"/>
        <v>1385418.65</v>
      </c>
      <c r="D81" s="499">
        <f>SUM(Q81:S81)</f>
        <v>1289671.25</v>
      </c>
      <c r="E81" s="499"/>
      <c r="F81" s="499"/>
      <c r="G81" s="499">
        <f>ROUND(SUM(C81:F81)/2,0)</f>
        <v>1337545</v>
      </c>
      <c r="H81" s="499"/>
      <c r="I81" s="499">
        <f t="shared" si="5"/>
        <v>1337544.95</v>
      </c>
      <c r="J81" s="499">
        <f t="shared" si="5"/>
        <v>0</v>
      </c>
      <c r="K81" s="499">
        <f t="shared" si="5"/>
        <v>0</v>
      </c>
      <c r="L81" s="499"/>
      <c r="M81" s="506">
        <v>1385418.65</v>
      </c>
      <c r="N81" s="506">
        <v>0</v>
      </c>
      <c r="O81" s="506">
        <v>0</v>
      </c>
      <c r="P81" s="499"/>
      <c r="Q81" s="506">
        <v>1289671.25</v>
      </c>
      <c r="R81" s="506">
        <v>0</v>
      </c>
      <c r="S81" s="506">
        <v>0</v>
      </c>
      <c r="T81" s="422"/>
      <c r="U81" s="422"/>
    </row>
    <row r="82" spans="1:21">
      <c r="A82" s="525">
        <f t="shared" si="0"/>
        <v>57</v>
      </c>
      <c r="B82" s="624" t="s">
        <v>1152</v>
      </c>
      <c r="C82" s="604">
        <f t="shared" si="7"/>
        <v>51023.1</v>
      </c>
      <c r="D82" s="604">
        <f t="shared" si="3"/>
        <v>22683.600000000002</v>
      </c>
      <c r="E82" s="604"/>
      <c r="F82" s="604"/>
      <c r="G82" s="604">
        <f t="shared" si="4"/>
        <v>36853</v>
      </c>
      <c r="H82" s="604"/>
      <c r="I82" s="604">
        <f t="shared" si="5"/>
        <v>432.35</v>
      </c>
      <c r="J82" s="604">
        <f t="shared" si="5"/>
        <v>-143.375</v>
      </c>
      <c r="K82" s="604">
        <f t="shared" si="5"/>
        <v>36564.375</v>
      </c>
      <c r="L82" s="604"/>
      <c r="M82" s="604">
        <v>1525.4</v>
      </c>
      <c r="N82" s="604">
        <v>-360.9</v>
      </c>
      <c r="O82" s="604">
        <v>49858.6</v>
      </c>
      <c r="P82" s="604"/>
      <c r="Q82" s="604">
        <v>-660.7</v>
      </c>
      <c r="R82" s="604">
        <v>74.150000000000006</v>
      </c>
      <c r="S82" s="604">
        <v>23270.15</v>
      </c>
      <c r="T82" s="422"/>
      <c r="U82" s="422"/>
    </row>
    <row r="83" spans="1:21">
      <c r="A83" s="525">
        <f t="shared" si="0"/>
        <v>58</v>
      </c>
      <c r="B83" s="512" t="s">
        <v>1153</v>
      </c>
      <c r="C83" s="499">
        <f t="shared" si="7"/>
        <v>1385626.93</v>
      </c>
      <c r="D83" s="499">
        <f t="shared" si="3"/>
        <v>1367035.25</v>
      </c>
      <c r="E83" s="499"/>
      <c r="F83" s="499"/>
      <c r="G83" s="499">
        <f t="shared" si="4"/>
        <v>1376331</v>
      </c>
      <c r="H83" s="499"/>
      <c r="I83" s="499">
        <f t="shared" si="5"/>
        <v>0</v>
      </c>
      <c r="J83" s="499">
        <f t="shared" si="5"/>
        <v>1376331.0899999999</v>
      </c>
      <c r="K83" s="499">
        <f t="shared" si="5"/>
        <v>0</v>
      </c>
      <c r="L83" s="499"/>
      <c r="M83" s="506">
        <v>0</v>
      </c>
      <c r="N83" s="506">
        <v>1385626.93</v>
      </c>
      <c r="O83" s="506">
        <v>0</v>
      </c>
      <c r="P83" s="499"/>
      <c r="Q83" s="506">
        <v>0</v>
      </c>
      <c r="R83" s="506">
        <v>1367035.25</v>
      </c>
      <c r="S83" s="506">
        <v>0</v>
      </c>
      <c r="T83" s="422"/>
      <c r="U83" s="422"/>
    </row>
    <row r="84" spans="1:21">
      <c r="A84" s="525">
        <f t="shared" si="0"/>
        <v>59</v>
      </c>
      <c r="B84" s="624" t="s">
        <v>1068</v>
      </c>
      <c r="C84" s="604">
        <f t="shared" si="7"/>
        <v>-3712600.95</v>
      </c>
      <c r="D84" s="604">
        <f t="shared" si="3"/>
        <v>-11597878.24</v>
      </c>
      <c r="E84" s="604"/>
      <c r="F84" s="604"/>
      <c r="G84" s="604">
        <f t="shared" si="4"/>
        <v>-7655240</v>
      </c>
      <c r="H84" s="604"/>
      <c r="I84" s="604">
        <f t="shared" si="5"/>
        <v>-3958544.2199999997</v>
      </c>
      <c r="J84" s="604">
        <f t="shared" si="5"/>
        <v>-613434.22499999998</v>
      </c>
      <c r="K84" s="604">
        <f t="shared" si="5"/>
        <v>-3083261.1500000004</v>
      </c>
      <c r="L84" s="604"/>
      <c r="M84" s="604">
        <v>-1920866.93</v>
      </c>
      <c r="N84" s="604">
        <v>-346402.17</v>
      </c>
      <c r="O84" s="604">
        <v>-1445331.85</v>
      </c>
      <c r="P84" s="604"/>
      <c r="Q84" s="604">
        <v>-5996221.5099999998</v>
      </c>
      <c r="R84" s="604">
        <v>-880466.28</v>
      </c>
      <c r="S84" s="604">
        <v>-4721190.45</v>
      </c>
      <c r="T84" s="422"/>
      <c r="U84" s="422"/>
    </row>
    <row r="85" spans="1:21">
      <c r="A85" s="525">
        <f t="shared" si="0"/>
        <v>60</v>
      </c>
      <c r="B85" s="624" t="s">
        <v>1069</v>
      </c>
      <c r="C85" s="604">
        <f t="shared" si="7"/>
        <v>11569715.85</v>
      </c>
      <c r="D85" s="604">
        <f>SUM(Q85:S85)</f>
        <v>11520154.1</v>
      </c>
      <c r="E85" s="604"/>
      <c r="F85" s="604"/>
      <c r="G85" s="604">
        <f>ROUND(SUM(C85:F85)/2,0)</f>
        <v>11544935</v>
      </c>
      <c r="H85" s="604"/>
      <c r="I85" s="604">
        <f t="shared" si="5"/>
        <v>5788645.625</v>
      </c>
      <c r="J85" s="604">
        <f t="shared" si="5"/>
        <v>523254.55</v>
      </c>
      <c r="K85" s="604">
        <f t="shared" si="5"/>
        <v>5233034.8</v>
      </c>
      <c r="L85" s="604"/>
      <c r="M85" s="604">
        <v>5813426.5</v>
      </c>
      <c r="N85" s="604">
        <v>523254.55</v>
      </c>
      <c r="O85" s="604">
        <v>5233034.8</v>
      </c>
      <c r="P85" s="604"/>
      <c r="Q85" s="604">
        <v>5763864.75</v>
      </c>
      <c r="R85" s="604">
        <v>523254.55</v>
      </c>
      <c r="S85" s="604">
        <v>5233034.8</v>
      </c>
      <c r="T85" s="422"/>
      <c r="U85" s="422"/>
    </row>
    <row r="86" spans="1:21">
      <c r="A86" s="525">
        <f t="shared" si="0"/>
        <v>61</v>
      </c>
      <c r="B86" s="624" t="s">
        <v>1070</v>
      </c>
      <c r="C86" s="604">
        <f t="shared" si="7"/>
        <v>-246151.80000000002</v>
      </c>
      <c r="D86" s="604">
        <f>SUM(Q86:S86)</f>
        <v>2683388.75</v>
      </c>
      <c r="E86" s="604"/>
      <c r="F86" s="604"/>
      <c r="G86" s="604">
        <f>ROUND(SUM(C86:F86)/2,0)</f>
        <v>1218618</v>
      </c>
      <c r="H86" s="604"/>
      <c r="I86" s="604">
        <f t="shared" si="5"/>
        <v>409673.54499999998</v>
      </c>
      <c r="J86" s="604">
        <f t="shared" si="5"/>
        <v>211817.86</v>
      </c>
      <c r="K86" s="604">
        <f t="shared" si="5"/>
        <v>597127.07000000007</v>
      </c>
      <c r="L86" s="604"/>
      <c r="M86" s="604">
        <v>-190438.76</v>
      </c>
      <c r="N86" s="604">
        <v>104325.35</v>
      </c>
      <c r="O86" s="604">
        <v>-160038.39000000001</v>
      </c>
      <c r="P86" s="604"/>
      <c r="Q86" s="604">
        <v>1009785.85</v>
      </c>
      <c r="R86" s="604">
        <v>319310.37</v>
      </c>
      <c r="S86" s="604">
        <v>1354292.53</v>
      </c>
      <c r="T86" s="422"/>
      <c r="U86" s="422"/>
    </row>
    <row r="87" spans="1:21">
      <c r="A87" s="525">
        <f t="shared" si="0"/>
        <v>62</v>
      </c>
      <c r="B87" s="624" t="s">
        <v>1154</v>
      </c>
      <c r="C87" s="604">
        <f t="shared" si="7"/>
        <v>6894297.4299999997</v>
      </c>
      <c r="D87" s="604">
        <f t="shared" si="3"/>
        <v>6130909.5499999998</v>
      </c>
      <c r="E87" s="604"/>
      <c r="F87" s="604"/>
      <c r="G87" s="604">
        <f t="shared" si="4"/>
        <v>6512603</v>
      </c>
      <c r="H87" s="604"/>
      <c r="I87" s="604">
        <f t="shared" si="5"/>
        <v>2724804.7549999999</v>
      </c>
      <c r="J87" s="604">
        <f t="shared" si="5"/>
        <v>422376.08499999996</v>
      </c>
      <c r="K87" s="604">
        <f t="shared" si="5"/>
        <v>3365422.65</v>
      </c>
      <c r="L87" s="604"/>
      <c r="M87" s="604">
        <v>3064052.38</v>
      </c>
      <c r="N87" s="604">
        <v>521215.01</v>
      </c>
      <c r="O87" s="604">
        <v>3309030.04</v>
      </c>
      <c r="P87" s="604"/>
      <c r="Q87" s="604">
        <v>2385557.13</v>
      </c>
      <c r="R87" s="604">
        <v>323537.15999999997</v>
      </c>
      <c r="S87" s="604">
        <v>3421815.26</v>
      </c>
      <c r="T87" s="422"/>
      <c r="U87" s="422"/>
    </row>
    <row r="88" spans="1:21">
      <c r="A88" s="525">
        <f t="shared" si="0"/>
        <v>63</v>
      </c>
      <c r="B88" s="527" t="s">
        <v>1155</v>
      </c>
      <c r="C88" s="508">
        <f t="shared" si="7"/>
        <v>45053649.780000001</v>
      </c>
      <c r="D88" s="508">
        <f t="shared" si="3"/>
        <v>40383655.340000004</v>
      </c>
      <c r="E88" s="508"/>
      <c r="F88" s="508"/>
      <c r="G88" s="508">
        <f t="shared" si="4"/>
        <v>42718653</v>
      </c>
      <c r="H88" s="508"/>
      <c r="I88" s="508">
        <f t="shared" si="5"/>
        <v>42368192.965000004</v>
      </c>
      <c r="J88" s="508">
        <f t="shared" si="5"/>
        <v>7918.46</v>
      </c>
      <c r="K88" s="508">
        <f t="shared" si="5"/>
        <v>342541.13500000001</v>
      </c>
      <c r="L88" s="508"/>
      <c r="M88" s="508">
        <v>44658522.789999999</v>
      </c>
      <c r="N88" s="508">
        <v>7676.9</v>
      </c>
      <c r="O88" s="508">
        <v>387450.09</v>
      </c>
      <c r="P88" s="508"/>
      <c r="Q88" s="508">
        <v>40077863.140000001</v>
      </c>
      <c r="R88" s="508">
        <v>8160.02</v>
      </c>
      <c r="S88" s="508">
        <v>297632.18</v>
      </c>
      <c r="T88" s="422"/>
      <c r="U88" s="422"/>
    </row>
    <row r="89" spans="1:21">
      <c r="A89" s="525">
        <f t="shared" si="0"/>
        <v>64</v>
      </c>
      <c r="B89" s="527" t="s">
        <v>1156</v>
      </c>
      <c r="C89" s="508">
        <f>SUM(M89:O89)</f>
        <v>4071513.35</v>
      </c>
      <c r="D89" s="508">
        <f>SUM(Q89:S89)</f>
        <v>4142846.25</v>
      </c>
      <c r="E89" s="508"/>
      <c r="F89" s="508"/>
      <c r="G89" s="508">
        <f>ROUND(SUM(C89:F89)/2,0)</f>
        <v>4107180</v>
      </c>
      <c r="H89" s="508"/>
      <c r="I89" s="508">
        <f>(M89+Q89)/2</f>
        <v>4107179.8</v>
      </c>
      <c r="J89" s="508">
        <f>(N89+R89)/2</f>
        <v>0</v>
      </c>
      <c r="K89" s="508">
        <f>(O89+S89)/2</f>
        <v>0</v>
      </c>
      <c r="L89" s="508"/>
      <c r="M89" s="508">
        <v>4071513.35</v>
      </c>
      <c r="N89" s="508">
        <v>0</v>
      </c>
      <c r="O89" s="508">
        <v>0</v>
      </c>
      <c r="P89" s="508"/>
      <c r="Q89" s="508">
        <v>4142846.25</v>
      </c>
      <c r="R89" s="508">
        <v>0</v>
      </c>
      <c r="S89" s="508">
        <v>0</v>
      </c>
      <c r="T89" s="422"/>
      <c r="U89" s="422"/>
    </row>
    <row r="90" spans="1:21">
      <c r="A90" s="525">
        <f t="shared" si="0"/>
        <v>65</v>
      </c>
      <c r="B90" s="624" t="s">
        <v>1157</v>
      </c>
      <c r="C90" s="604">
        <f t="shared" si="7"/>
        <v>-5729453.3700000001</v>
      </c>
      <c r="D90" s="604">
        <f>SUM(Q90:S90)</f>
        <v>0</v>
      </c>
      <c r="E90" s="604"/>
      <c r="F90" s="604"/>
      <c r="G90" s="604">
        <f>ROUND(SUM(C90:F90)/2,0)</f>
        <v>-2864727</v>
      </c>
      <c r="H90" s="604"/>
      <c r="I90" s="604">
        <f t="shared" si="5"/>
        <v>-1215399.77</v>
      </c>
      <c r="J90" s="604">
        <f t="shared" si="5"/>
        <v>-175170.95</v>
      </c>
      <c r="K90" s="604">
        <f t="shared" si="5"/>
        <v>-1474155.9650000001</v>
      </c>
      <c r="L90" s="604"/>
      <c r="M90" s="604">
        <v>-2430799.54</v>
      </c>
      <c r="N90" s="604">
        <v>-350341.9</v>
      </c>
      <c r="O90" s="604">
        <v>-2948311.93</v>
      </c>
      <c r="P90" s="604"/>
      <c r="Q90" s="604">
        <v>0</v>
      </c>
      <c r="R90" s="604">
        <v>0</v>
      </c>
      <c r="S90" s="604">
        <v>0</v>
      </c>
      <c r="T90" s="422"/>
      <c r="U90" s="422"/>
    </row>
    <row r="91" spans="1:21">
      <c r="A91" s="525">
        <f t="shared" ref="A91:A120" si="8">A90+1</f>
        <v>66</v>
      </c>
      <c r="B91" s="526" t="s">
        <v>1158</v>
      </c>
      <c r="C91" s="499">
        <f t="shared" si="7"/>
        <v>121212.84</v>
      </c>
      <c r="D91" s="499">
        <f>SUM(Q91:S91)</f>
        <v>121212.84</v>
      </c>
      <c r="E91" s="499"/>
      <c r="F91" s="499"/>
      <c r="G91" s="499">
        <f>ROUND(SUM(C91:F91)/2,0)</f>
        <v>121213</v>
      </c>
      <c r="H91" s="499"/>
      <c r="I91" s="499">
        <f t="shared" si="5"/>
        <v>121212.84</v>
      </c>
      <c r="J91" s="499">
        <f t="shared" si="5"/>
        <v>0</v>
      </c>
      <c r="K91" s="499">
        <f t="shared" si="5"/>
        <v>0</v>
      </c>
      <c r="L91" s="499"/>
      <c r="M91" s="506">
        <v>121212.84</v>
      </c>
      <c r="N91" s="506">
        <v>0</v>
      </c>
      <c r="O91" s="506">
        <v>0</v>
      </c>
      <c r="P91" s="499"/>
      <c r="Q91" s="506">
        <v>121212.84</v>
      </c>
      <c r="R91" s="506">
        <v>0</v>
      </c>
      <c r="S91" s="506">
        <v>0</v>
      </c>
      <c r="T91" s="422"/>
      <c r="U91" s="422"/>
    </row>
    <row r="92" spans="1:21">
      <c r="A92" s="525">
        <f t="shared" si="8"/>
        <v>67</v>
      </c>
      <c r="B92" s="512" t="s">
        <v>1071</v>
      </c>
      <c r="C92" s="499">
        <f t="shared" si="7"/>
        <v>99027125.349999994</v>
      </c>
      <c r="D92" s="499">
        <f t="shared" si="3"/>
        <v>95664271.450000003</v>
      </c>
      <c r="E92" s="499"/>
      <c r="F92" s="499"/>
      <c r="G92" s="499">
        <f t="shared" si="4"/>
        <v>97345698</v>
      </c>
      <c r="H92" s="499"/>
      <c r="I92" s="499">
        <f t="shared" si="5"/>
        <v>13482377.375</v>
      </c>
      <c r="J92" s="499">
        <f t="shared" si="5"/>
        <v>28899277.325000003</v>
      </c>
      <c r="K92" s="499">
        <f t="shared" si="5"/>
        <v>54964043.700000003</v>
      </c>
      <c r="L92" s="499"/>
      <c r="M92" s="506">
        <v>14651399.6</v>
      </c>
      <c r="N92" s="506">
        <v>29695808.550000001</v>
      </c>
      <c r="O92" s="506">
        <v>54679917.200000003</v>
      </c>
      <c r="P92" s="499"/>
      <c r="Q92" s="506">
        <v>12313355.15</v>
      </c>
      <c r="R92" s="506">
        <v>28102746.100000001</v>
      </c>
      <c r="S92" s="506">
        <v>55248170.200000003</v>
      </c>
      <c r="T92" s="422"/>
      <c r="U92" s="422"/>
    </row>
    <row r="93" spans="1:21">
      <c r="A93" s="525">
        <f t="shared" si="8"/>
        <v>68</v>
      </c>
      <c r="B93" s="512" t="s">
        <v>1072</v>
      </c>
      <c r="C93" s="499">
        <f t="shared" ref="C93:C98" si="9">SUM(M93:O93)</f>
        <v>-17714.199999999997</v>
      </c>
      <c r="D93" s="499">
        <f t="shared" si="3"/>
        <v>-223541.85</v>
      </c>
      <c r="E93" s="499"/>
      <c r="F93" s="499"/>
      <c r="G93" s="499">
        <f t="shared" si="4"/>
        <v>-120628</v>
      </c>
      <c r="H93" s="499"/>
      <c r="I93" s="499">
        <f t="shared" si="5"/>
        <v>-82917.45</v>
      </c>
      <c r="J93" s="499">
        <f t="shared" si="5"/>
        <v>-14958.125</v>
      </c>
      <c r="K93" s="499">
        <f t="shared" si="5"/>
        <v>-22752.45</v>
      </c>
      <c r="L93" s="499"/>
      <c r="M93" s="506">
        <v>-1005.55</v>
      </c>
      <c r="N93" s="506">
        <v>-12447.75</v>
      </c>
      <c r="O93" s="506">
        <v>-4260.8999999999996</v>
      </c>
      <c r="P93" s="499"/>
      <c r="Q93" s="506">
        <v>-164829.35</v>
      </c>
      <c r="R93" s="506">
        <v>-17468.5</v>
      </c>
      <c r="S93" s="506">
        <v>-41244</v>
      </c>
      <c r="T93" s="422"/>
      <c r="U93" s="422"/>
    </row>
    <row r="94" spans="1:21">
      <c r="A94" s="525">
        <f t="shared" si="8"/>
        <v>69</v>
      </c>
      <c r="B94" s="512" t="s">
        <v>452</v>
      </c>
      <c r="C94" s="499">
        <f t="shared" si="9"/>
        <v>21683880.499999996</v>
      </c>
      <c r="D94" s="499">
        <f>SUM(Q94:S94)</f>
        <v>22861950.350000001</v>
      </c>
      <c r="E94" s="499"/>
      <c r="F94" s="499"/>
      <c r="G94" s="499">
        <f>ROUND(SUM(C94:F94)/2,0)</f>
        <v>22272915</v>
      </c>
      <c r="H94" s="499"/>
      <c r="I94" s="499">
        <f t="shared" si="5"/>
        <v>15103237.224999998</v>
      </c>
      <c r="J94" s="499">
        <f t="shared" si="5"/>
        <v>3033218.12</v>
      </c>
      <c r="K94" s="499">
        <f t="shared" si="5"/>
        <v>4136460.08</v>
      </c>
      <c r="L94" s="499"/>
      <c r="M94" s="506">
        <v>14321296.159999996</v>
      </c>
      <c r="N94" s="506">
        <v>3114829.37</v>
      </c>
      <c r="O94" s="506">
        <v>4247754.97</v>
      </c>
      <c r="P94" s="499"/>
      <c r="Q94" s="506">
        <v>15885178.289999999</v>
      </c>
      <c r="R94" s="506">
        <v>2951606.87</v>
      </c>
      <c r="S94" s="506">
        <v>4025165.1900000004</v>
      </c>
      <c r="T94" s="422"/>
      <c r="U94" s="422"/>
    </row>
    <row r="95" spans="1:21">
      <c r="A95" s="525">
        <f t="shared" si="8"/>
        <v>70</v>
      </c>
      <c r="B95" s="512" t="s">
        <v>1073</v>
      </c>
      <c r="C95" s="499">
        <f t="shared" si="9"/>
        <v>-783321</v>
      </c>
      <c r="D95" s="499">
        <f>SUM(Q95:S95)</f>
        <v>-1376556.65</v>
      </c>
      <c r="E95" s="499"/>
      <c r="F95" s="499"/>
      <c r="G95" s="499">
        <f>ROUND(SUM(C95:F95)/2,0)</f>
        <v>-1079939</v>
      </c>
      <c r="H95" s="499"/>
      <c r="I95" s="499">
        <f t="shared" si="5"/>
        <v>-889853.47500000009</v>
      </c>
      <c r="J95" s="499">
        <f t="shared" si="5"/>
        <v>0</v>
      </c>
      <c r="K95" s="499">
        <f t="shared" si="5"/>
        <v>-190085.34999999998</v>
      </c>
      <c r="L95" s="499"/>
      <c r="M95" s="506">
        <v>-593235.65</v>
      </c>
      <c r="N95" s="506">
        <v>0</v>
      </c>
      <c r="O95" s="506">
        <v>-190085.34999999998</v>
      </c>
      <c r="P95" s="499"/>
      <c r="Q95" s="506">
        <v>-1186471.3</v>
      </c>
      <c r="R95" s="506">
        <v>0</v>
      </c>
      <c r="S95" s="506">
        <v>-190085.34999999998</v>
      </c>
      <c r="T95" s="422"/>
      <c r="U95" s="422"/>
    </row>
    <row r="96" spans="1:21">
      <c r="A96" s="525">
        <f t="shared" si="8"/>
        <v>71</v>
      </c>
      <c r="B96" s="512" t="s">
        <v>1074</v>
      </c>
      <c r="C96" s="499">
        <f t="shared" si="9"/>
        <v>190085</v>
      </c>
      <c r="D96" s="499">
        <f>SUM(Q96:S96)</f>
        <v>190085</v>
      </c>
      <c r="E96" s="499"/>
      <c r="F96" s="499"/>
      <c r="G96" s="499">
        <f>ROUND(SUM(C96:F96)/2,0)</f>
        <v>190085</v>
      </c>
      <c r="H96" s="499"/>
      <c r="I96" s="499">
        <f t="shared" si="5"/>
        <v>0</v>
      </c>
      <c r="J96" s="499">
        <f t="shared" si="5"/>
        <v>0</v>
      </c>
      <c r="K96" s="499">
        <f t="shared" si="5"/>
        <v>190085</v>
      </c>
      <c r="L96" s="499"/>
      <c r="M96" s="506">
        <v>0</v>
      </c>
      <c r="N96" s="506">
        <v>0</v>
      </c>
      <c r="O96" s="506">
        <v>190085</v>
      </c>
      <c r="P96" s="499"/>
      <c r="Q96" s="506">
        <v>0</v>
      </c>
      <c r="R96" s="506">
        <v>0</v>
      </c>
      <c r="S96" s="506">
        <v>190085</v>
      </c>
      <c r="T96" s="422"/>
      <c r="U96" s="422"/>
    </row>
    <row r="97" spans="1:21">
      <c r="A97" s="525">
        <f t="shared" si="8"/>
        <v>72</v>
      </c>
      <c r="B97" s="512" t="s">
        <v>1159</v>
      </c>
      <c r="C97" s="499">
        <f t="shared" si="9"/>
        <v>91791.29999999993</v>
      </c>
      <c r="D97" s="499">
        <f>SUM(Q97:S97)</f>
        <v>125681.10000000003</v>
      </c>
      <c r="E97" s="499"/>
      <c r="F97" s="499"/>
      <c r="G97" s="499">
        <f>ROUND(SUM(C97:F97)/2,0)</f>
        <v>108736</v>
      </c>
      <c r="H97" s="499"/>
      <c r="I97" s="499">
        <f t="shared" si="5"/>
        <v>7283.7249999999767</v>
      </c>
      <c r="J97" s="499">
        <f t="shared" si="5"/>
        <v>981.60000000000582</v>
      </c>
      <c r="K97" s="499">
        <f t="shared" si="5"/>
        <v>100470.875</v>
      </c>
      <c r="L97" s="499"/>
      <c r="M97" s="506">
        <v>0.3999999999650754</v>
      </c>
      <c r="N97" s="506">
        <v>0.20000000001164153</v>
      </c>
      <c r="O97" s="506">
        <v>91790.699999999953</v>
      </c>
      <c r="P97" s="499"/>
      <c r="Q97" s="506">
        <v>14567.049999999988</v>
      </c>
      <c r="R97" s="506">
        <v>1963</v>
      </c>
      <c r="S97" s="506">
        <v>109151.05000000005</v>
      </c>
      <c r="T97" s="422"/>
      <c r="U97" s="422"/>
    </row>
    <row r="98" spans="1:21">
      <c r="A98" s="525">
        <f t="shared" si="8"/>
        <v>73</v>
      </c>
      <c r="B98" s="512" t="s">
        <v>1160</v>
      </c>
      <c r="C98" s="499">
        <f t="shared" si="9"/>
        <v>-36321.599999999999</v>
      </c>
      <c r="D98" s="499">
        <f>SUM(Q98:S98)</f>
        <v>261558.15</v>
      </c>
      <c r="E98" s="499"/>
      <c r="F98" s="499"/>
      <c r="G98" s="499">
        <f>ROUND(SUM(C98:F98)/2,0)</f>
        <v>112618</v>
      </c>
      <c r="H98" s="499"/>
      <c r="I98" s="499">
        <f t="shared" si="5"/>
        <v>88467.049999999988</v>
      </c>
      <c r="J98" s="499">
        <f t="shared" si="5"/>
        <v>10913.525</v>
      </c>
      <c r="K98" s="499">
        <f t="shared" si="5"/>
        <v>13237.699999999999</v>
      </c>
      <c r="L98" s="499"/>
      <c r="M98" s="506">
        <v>-49069.3</v>
      </c>
      <c r="N98" s="506">
        <v>9496.9</v>
      </c>
      <c r="O98" s="506">
        <v>3250.8</v>
      </c>
      <c r="P98" s="499"/>
      <c r="Q98" s="506">
        <v>226003.4</v>
      </c>
      <c r="R98" s="506">
        <v>12330.15</v>
      </c>
      <c r="S98" s="506">
        <v>23224.6</v>
      </c>
      <c r="T98" s="422"/>
      <c r="U98" s="422"/>
    </row>
    <row r="99" spans="1:21">
      <c r="A99" s="525">
        <f t="shared" si="8"/>
        <v>74</v>
      </c>
      <c r="B99" s="512" t="s">
        <v>1075</v>
      </c>
      <c r="C99" s="499">
        <f t="shared" ref="C99:C106" si="10">SUM(M99:O99)</f>
        <v>0</v>
      </c>
      <c r="D99" s="499">
        <f t="shared" ref="D99:D100" si="11">SUM(Q99:S99)</f>
        <v>0</v>
      </c>
      <c r="E99" s="499"/>
      <c r="F99" s="499"/>
      <c r="G99" s="499">
        <f t="shared" ref="G99:G115" si="12">ROUND(SUM(C99:F99)/2,0)</f>
        <v>0</v>
      </c>
      <c r="H99" s="499"/>
      <c r="I99" s="499">
        <f t="shared" si="5"/>
        <v>0</v>
      </c>
      <c r="J99" s="499">
        <f t="shared" si="5"/>
        <v>0</v>
      </c>
      <c r="K99" s="499">
        <f t="shared" si="5"/>
        <v>0</v>
      </c>
      <c r="L99" s="499"/>
      <c r="M99" s="506">
        <v>0</v>
      </c>
      <c r="N99" s="506">
        <v>0</v>
      </c>
      <c r="O99" s="506">
        <v>0</v>
      </c>
      <c r="P99" s="499"/>
      <c r="Q99" s="506">
        <v>0</v>
      </c>
      <c r="R99" s="506">
        <v>0</v>
      </c>
      <c r="S99" s="506">
        <v>0</v>
      </c>
      <c r="T99" s="422"/>
      <c r="U99" s="422"/>
    </row>
    <row r="100" spans="1:21">
      <c r="A100" s="525">
        <f t="shared" si="8"/>
        <v>75</v>
      </c>
      <c r="B100" s="512" t="s">
        <v>1076</v>
      </c>
      <c r="C100" s="499">
        <f t="shared" si="10"/>
        <v>0</v>
      </c>
      <c r="D100" s="499">
        <f t="shared" si="11"/>
        <v>0</v>
      </c>
      <c r="E100" s="499"/>
      <c r="F100" s="499"/>
      <c r="G100" s="499">
        <f t="shared" si="12"/>
        <v>0</v>
      </c>
      <c r="H100" s="499"/>
      <c r="I100" s="499">
        <f t="shared" si="5"/>
        <v>0</v>
      </c>
      <c r="J100" s="499">
        <f t="shared" si="5"/>
        <v>0</v>
      </c>
      <c r="K100" s="499">
        <f t="shared" si="5"/>
        <v>0</v>
      </c>
      <c r="L100" s="499"/>
      <c r="M100" s="506">
        <v>0</v>
      </c>
      <c r="N100" s="506">
        <v>0</v>
      </c>
      <c r="O100" s="506">
        <v>0</v>
      </c>
      <c r="P100" s="499"/>
      <c r="Q100" s="506">
        <v>0</v>
      </c>
      <c r="R100" s="506">
        <v>0</v>
      </c>
      <c r="S100" s="506">
        <v>0</v>
      </c>
      <c r="T100" s="422"/>
      <c r="U100" s="422"/>
    </row>
    <row r="101" spans="1:21">
      <c r="A101" s="525">
        <f t="shared" si="8"/>
        <v>76</v>
      </c>
      <c r="B101" s="512" t="s">
        <v>1077</v>
      </c>
      <c r="C101" s="499">
        <f t="shared" si="10"/>
        <v>89807.5</v>
      </c>
      <c r="D101" s="499">
        <f t="shared" ref="D101:D106" si="13">SUM(Q101:S101)</f>
        <v>89807.5</v>
      </c>
      <c r="E101" s="499"/>
      <c r="F101" s="499"/>
      <c r="G101" s="499">
        <f t="shared" si="12"/>
        <v>89808</v>
      </c>
      <c r="H101" s="499"/>
      <c r="I101" s="499">
        <f t="shared" si="5"/>
        <v>0</v>
      </c>
      <c r="J101" s="499">
        <f t="shared" si="5"/>
        <v>0</v>
      </c>
      <c r="K101" s="499">
        <f t="shared" si="5"/>
        <v>89807.5</v>
      </c>
      <c r="L101" s="499"/>
      <c r="M101" s="506">
        <v>0</v>
      </c>
      <c r="N101" s="506">
        <v>0</v>
      </c>
      <c r="O101" s="506">
        <v>89807.5</v>
      </c>
      <c r="P101" s="499"/>
      <c r="Q101" s="506">
        <v>0</v>
      </c>
      <c r="R101" s="506">
        <v>0</v>
      </c>
      <c r="S101" s="506">
        <v>89807.5</v>
      </c>
      <c r="T101" s="422"/>
      <c r="U101" s="422"/>
    </row>
    <row r="102" spans="1:21">
      <c r="A102" s="525">
        <f t="shared" si="8"/>
        <v>77</v>
      </c>
      <c r="B102" s="512" t="s">
        <v>1078</v>
      </c>
      <c r="C102" s="499">
        <f t="shared" si="10"/>
        <v>1336186.8</v>
      </c>
      <c r="D102" s="499">
        <f t="shared" si="13"/>
        <v>1262422.2</v>
      </c>
      <c r="E102" s="499"/>
      <c r="F102" s="499"/>
      <c r="G102" s="499">
        <f t="shared" si="12"/>
        <v>1299305</v>
      </c>
      <c r="H102" s="499"/>
      <c r="I102" s="499">
        <f t="shared" si="5"/>
        <v>0</v>
      </c>
      <c r="J102" s="499">
        <f t="shared" si="5"/>
        <v>0</v>
      </c>
      <c r="K102" s="499">
        <f t="shared" si="5"/>
        <v>1299304.5</v>
      </c>
      <c r="L102" s="499"/>
      <c r="M102" s="506">
        <v>0</v>
      </c>
      <c r="N102" s="506">
        <v>0</v>
      </c>
      <c r="O102" s="506">
        <v>1336186.8</v>
      </c>
      <c r="P102" s="499"/>
      <c r="Q102" s="506">
        <v>0</v>
      </c>
      <c r="R102" s="506">
        <v>0</v>
      </c>
      <c r="S102" s="506">
        <v>1262422.2</v>
      </c>
      <c r="T102" s="422"/>
      <c r="U102" s="422"/>
    </row>
    <row r="103" spans="1:21">
      <c r="A103" s="525">
        <f t="shared" si="8"/>
        <v>78</v>
      </c>
      <c r="B103" s="512" t="s">
        <v>1079</v>
      </c>
      <c r="C103" s="499">
        <f t="shared" si="10"/>
        <v>0</v>
      </c>
      <c r="D103" s="499">
        <f t="shared" si="13"/>
        <v>0</v>
      </c>
      <c r="E103" s="499"/>
      <c r="F103" s="499"/>
      <c r="G103" s="499">
        <f t="shared" si="12"/>
        <v>0</v>
      </c>
      <c r="H103" s="499"/>
      <c r="I103" s="499">
        <f t="shared" si="5"/>
        <v>0</v>
      </c>
      <c r="J103" s="499">
        <f t="shared" si="5"/>
        <v>0</v>
      </c>
      <c r="K103" s="499">
        <f t="shared" si="5"/>
        <v>0</v>
      </c>
      <c r="L103" s="499"/>
      <c r="M103" s="506">
        <v>0</v>
      </c>
      <c r="N103" s="506">
        <v>0</v>
      </c>
      <c r="O103" s="506">
        <v>0</v>
      </c>
      <c r="P103" s="499"/>
      <c r="Q103" s="506">
        <v>0</v>
      </c>
      <c r="R103" s="506">
        <v>0</v>
      </c>
      <c r="S103" s="506">
        <v>0</v>
      </c>
      <c r="T103" s="422"/>
      <c r="U103" s="422"/>
    </row>
    <row r="104" spans="1:21">
      <c r="A104" s="525">
        <f t="shared" si="8"/>
        <v>79</v>
      </c>
      <c r="B104" s="512" t="s">
        <v>1080</v>
      </c>
      <c r="C104" s="499">
        <f t="shared" si="10"/>
        <v>2913180.2800000003</v>
      </c>
      <c r="D104" s="499">
        <f t="shared" si="13"/>
        <v>2632368.63</v>
      </c>
      <c r="E104" s="499"/>
      <c r="F104" s="499"/>
      <c r="G104" s="499">
        <f t="shared" si="12"/>
        <v>2772774</v>
      </c>
      <c r="H104" s="499"/>
      <c r="I104" s="499">
        <f t="shared" si="5"/>
        <v>1305708.69</v>
      </c>
      <c r="J104" s="499">
        <f t="shared" si="5"/>
        <v>1088952.8999999999</v>
      </c>
      <c r="K104" s="499">
        <f t="shared" si="5"/>
        <v>378112.86499999999</v>
      </c>
      <c r="L104" s="499"/>
      <c r="M104" s="506">
        <v>1442669.29</v>
      </c>
      <c r="N104" s="506">
        <v>1088964.1000000001</v>
      </c>
      <c r="O104" s="506">
        <v>381546.89</v>
      </c>
      <c r="P104" s="499"/>
      <c r="Q104" s="506">
        <v>1168748.0900000001</v>
      </c>
      <c r="R104" s="506">
        <v>1088941.7</v>
      </c>
      <c r="S104" s="506">
        <v>374678.84</v>
      </c>
      <c r="T104" s="422"/>
      <c r="U104" s="422"/>
    </row>
    <row r="105" spans="1:21">
      <c r="A105" s="525">
        <f t="shared" si="8"/>
        <v>80</v>
      </c>
      <c r="B105" s="512" t="s">
        <v>1161</v>
      </c>
      <c r="C105" s="499">
        <f t="shared" si="10"/>
        <v>3174757</v>
      </c>
      <c r="D105" s="499">
        <f t="shared" si="13"/>
        <v>3174757</v>
      </c>
      <c r="E105" s="499"/>
      <c r="F105" s="499"/>
      <c r="G105" s="499">
        <f t="shared" si="12"/>
        <v>3174757</v>
      </c>
      <c r="H105" s="499"/>
      <c r="I105" s="499">
        <f t="shared" si="5"/>
        <v>2856949</v>
      </c>
      <c r="J105" s="499">
        <f t="shared" si="5"/>
        <v>87795</v>
      </c>
      <c r="K105" s="499">
        <f t="shared" si="5"/>
        <v>230013</v>
      </c>
      <c r="L105" s="499"/>
      <c r="M105" s="506">
        <v>2856949</v>
      </c>
      <c r="N105" s="506">
        <v>87795</v>
      </c>
      <c r="O105" s="506">
        <v>230013</v>
      </c>
      <c r="P105" s="499"/>
      <c r="Q105" s="506">
        <v>2856949</v>
      </c>
      <c r="R105" s="506">
        <v>87795</v>
      </c>
      <c r="S105" s="506">
        <v>230013</v>
      </c>
      <c r="T105" s="422"/>
      <c r="U105" s="422"/>
    </row>
    <row r="106" spans="1:21">
      <c r="A106" s="525">
        <f t="shared" si="8"/>
        <v>81</v>
      </c>
      <c r="B106" s="526" t="s">
        <v>1162</v>
      </c>
      <c r="C106" s="499">
        <f t="shared" si="10"/>
        <v>4450347.8</v>
      </c>
      <c r="D106" s="499">
        <f t="shared" si="13"/>
        <v>4450347.8</v>
      </c>
      <c r="E106" s="499"/>
      <c r="F106" s="499"/>
      <c r="G106" s="499">
        <f t="shared" si="12"/>
        <v>4450348</v>
      </c>
      <c r="H106" s="499"/>
      <c r="I106" s="499">
        <f t="shared" si="5"/>
        <v>0</v>
      </c>
      <c r="J106" s="499">
        <f t="shared" si="5"/>
        <v>0</v>
      </c>
      <c r="K106" s="499">
        <f t="shared" si="5"/>
        <v>4450347.8</v>
      </c>
      <c r="L106" s="499"/>
      <c r="M106" s="506">
        <v>0</v>
      </c>
      <c r="N106" s="506">
        <v>0</v>
      </c>
      <c r="O106" s="506">
        <v>4450347.8</v>
      </c>
      <c r="P106" s="499"/>
      <c r="Q106" s="506">
        <v>0</v>
      </c>
      <c r="R106" s="506">
        <v>0</v>
      </c>
      <c r="S106" s="506">
        <v>4450347.8</v>
      </c>
      <c r="T106" s="422"/>
      <c r="U106" s="422"/>
    </row>
    <row r="107" spans="1:21">
      <c r="A107" s="525">
        <f t="shared" si="8"/>
        <v>82</v>
      </c>
      <c r="B107" s="526" t="s">
        <v>485</v>
      </c>
      <c r="C107" s="503">
        <v>1465143.76</v>
      </c>
      <c r="D107" s="503">
        <v>5719542.54</v>
      </c>
      <c r="E107" s="499">
        <f t="shared" ref="E107:F116" si="14">-C107</f>
        <v>-1465143.76</v>
      </c>
      <c r="F107" s="499">
        <f t="shared" si="14"/>
        <v>-5719542.54</v>
      </c>
      <c r="G107" s="499">
        <f t="shared" si="12"/>
        <v>0</v>
      </c>
      <c r="H107" s="499"/>
      <c r="I107" s="499"/>
      <c r="J107" s="499"/>
      <c r="K107" s="499"/>
      <c r="L107" s="499"/>
      <c r="M107" s="499"/>
      <c r="N107" s="499"/>
      <c r="O107" s="499"/>
      <c r="P107" s="499"/>
      <c r="Q107" s="499"/>
      <c r="R107" s="499"/>
      <c r="S107" s="499"/>
      <c r="T107" s="422"/>
      <c r="U107" s="422"/>
    </row>
    <row r="108" spans="1:21">
      <c r="A108" s="525">
        <f t="shared" si="8"/>
        <v>83</v>
      </c>
      <c r="B108" s="499" t="s">
        <v>1081</v>
      </c>
      <c r="C108" s="503">
        <v>82638287.549999997</v>
      </c>
      <c r="D108" s="503">
        <v>92974619.530000001</v>
      </c>
      <c r="E108" s="499">
        <f t="shared" si="14"/>
        <v>-82638287.549999997</v>
      </c>
      <c r="F108" s="499">
        <f t="shared" si="14"/>
        <v>-92974619.530000001</v>
      </c>
      <c r="G108" s="499">
        <f t="shared" si="12"/>
        <v>0</v>
      </c>
      <c r="H108" s="499"/>
      <c r="I108" s="499"/>
      <c r="J108" s="499"/>
      <c r="K108" s="499"/>
      <c r="L108" s="499"/>
      <c r="M108" s="499"/>
      <c r="N108" s="499"/>
      <c r="O108" s="499"/>
      <c r="P108" s="499"/>
      <c r="Q108" s="499"/>
      <c r="R108" s="499"/>
      <c r="S108" s="499"/>
      <c r="T108" s="422"/>
      <c r="U108" s="422"/>
    </row>
    <row r="109" spans="1:21">
      <c r="A109" s="525">
        <f t="shared" si="8"/>
        <v>84</v>
      </c>
      <c r="B109" s="499" t="s">
        <v>1082</v>
      </c>
      <c r="C109" s="503">
        <v>954115.62</v>
      </c>
      <c r="D109" s="503">
        <v>952589.08</v>
      </c>
      <c r="E109" s="499">
        <f t="shared" si="14"/>
        <v>-954115.62</v>
      </c>
      <c r="F109" s="499">
        <f t="shared" si="14"/>
        <v>-952589.08</v>
      </c>
      <c r="G109" s="499">
        <f t="shared" si="12"/>
        <v>0</v>
      </c>
      <c r="H109" s="499"/>
      <c r="I109" s="499"/>
      <c r="J109" s="499"/>
      <c r="K109" s="499"/>
      <c r="L109" s="499"/>
      <c r="M109" s="499"/>
      <c r="N109" s="499"/>
      <c r="O109" s="499"/>
      <c r="P109" s="499"/>
      <c r="Q109" s="499"/>
      <c r="R109" s="499"/>
      <c r="S109" s="499"/>
      <c r="T109" s="422"/>
      <c r="U109" s="422"/>
    </row>
    <row r="110" spans="1:21">
      <c r="A110" s="525">
        <f t="shared" si="8"/>
        <v>85</v>
      </c>
      <c r="B110" s="499" t="s">
        <v>1083</v>
      </c>
      <c r="C110" s="503">
        <v>0</v>
      </c>
      <c r="D110" s="503">
        <v>0</v>
      </c>
      <c r="E110" s="499">
        <f t="shared" si="14"/>
        <v>0</v>
      </c>
      <c r="F110" s="499">
        <f t="shared" si="14"/>
        <v>0</v>
      </c>
      <c r="G110" s="499">
        <f t="shared" si="12"/>
        <v>0</v>
      </c>
      <c r="H110" s="499"/>
      <c r="I110" s="499"/>
      <c r="J110" s="499"/>
      <c r="K110" s="499"/>
      <c r="L110" s="499"/>
      <c r="M110" s="499"/>
      <c r="N110" s="499"/>
      <c r="O110" s="499"/>
      <c r="P110" s="499"/>
      <c r="Q110" s="499"/>
      <c r="R110" s="499"/>
      <c r="S110" s="499"/>
      <c r="T110" s="422"/>
      <c r="U110" s="422"/>
    </row>
    <row r="111" spans="1:21">
      <c r="A111" s="525">
        <f t="shared" si="8"/>
        <v>86</v>
      </c>
      <c r="B111" s="624" t="s">
        <v>1084</v>
      </c>
      <c r="C111" s="604">
        <v>0</v>
      </c>
      <c r="D111" s="604">
        <v>0</v>
      </c>
      <c r="E111" s="604">
        <f t="shared" si="14"/>
        <v>0</v>
      </c>
      <c r="F111" s="604">
        <f t="shared" si="14"/>
        <v>0</v>
      </c>
      <c r="G111" s="604">
        <f t="shared" si="12"/>
        <v>0</v>
      </c>
      <c r="H111" s="604"/>
      <c r="I111" s="604"/>
      <c r="J111" s="604"/>
      <c r="K111" s="604"/>
      <c r="L111" s="604"/>
      <c r="M111" s="604"/>
      <c r="N111" s="604"/>
      <c r="O111" s="604"/>
      <c r="P111" s="604"/>
      <c r="Q111" s="604"/>
      <c r="R111" s="604"/>
      <c r="S111" s="604"/>
      <c r="T111" s="422"/>
      <c r="U111" s="422"/>
    </row>
    <row r="112" spans="1:21">
      <c r="A112" s="525">
        <f t="shared" si="8"/>
        <v>87</v>
      </c>
      <c r="B112" s="624" t="s">
        <v>1085</v>
      </c>
      <c r="C112" s="604">
        <v>0</v>
      </c>
      <c r="D112" s="604">
        <v>0</v>
      </c>
      <c r="E112" s="604">
        <f t="shared" si="14"/>
        <v>0</v>
      </c>
      <c r="F112" s="604">
        <f t="shared" si="14"/>
        <v>0</v>
      </c>
      <c r="G112" s="604">
        <f>ROUND(SUM(C112:F112)/2,0)</f>
        <v>0</v>
      </c>
      <c r="H112" s="604"/>
      <c r="I112" s="604"/>
      <c r="J112" s="604"/>
      <c r="K112" s="604"/>
      <c r="L112" s="604"/>
      <c r="M112" s="604"/>
      <c r="N112" s="604"/>
      <c r="O112" s="604"/>
      <c r="P112" s="604"/>
      <c r="Q112" s="604"/>
      <c r="R112" s="604"/>
      <c r="S112" s="604"/>
      <c r="T112" s="422"/>
      <c r="U112" s="422"/>
    </row>
    <row r="113" spans="1:21">
      <c r="A113" s="525">
        <f t="shared" si="8"/>
        <v>88</v>
      </c>
      <c r="B113" s="624" t="s">
        <v>1086</v>
      </c>
      <c r="C113" s="604">
        <f>-166570.58+108583.89-198211.78</f>
        <v>-256198.46999999997</v>
      </c>
      <c r="D113" s="604">
        <f>1467150.23+345919.94+1093934.66</f>
        <v>2907004.83</v>
      </c>
      <c r="E113" s="604">
        <f t="shared" si="14"/>
        <v>256198.46999999997</v>
      </c>
      <c r="F113" s="604">
        <f t="shared" si="14"/>
        <v>-2907004.83</v>
      </c>
      <c r="G113" s="604">
        <f>ROUND(SUM(C113:F113)/2,0)</f>
        <v>0</v>
      </c>
      <c r="H113" s="604"/>
      <c r="I113" s="604"/>
      <c r="J113" s="604"/>
      <c r="K113" s="604"/>
      <c r="L113" s="604"/>
      <c r="M113" s="604"/>
      <c r="N113" s="604"/>
      <c r="O113" s="604"/>
      <c r="P113" s="604"/>
      <c r="Q113" s="604"/>
      <c r="R113" s="604"/>
      <c r="S113" s="604"/>
      <c r="T113" s="422"/>
      <c r="U113" s="422"/>
    </row>
    <row r="114" spans="1:21">
      <c r="A114" s="525">
        <f t="shared" si="8"/>
        <v>89</v>
      </c>
      <c r="B114" s="624" t="s">
        <v>1087</v>
      </c>
      <c r="C114" s="604">
        <v>0</v>
      </c>
      <c r="D114" s="604">
        <v>0</v>
      </c>
      <c r="E114" s="604">
        <f t="shared" si="14"/>
        <v>0</v>
      </c>
      <c r="F114" s="604">
        <f t="shared" si="14"/>
        <v>0</v>
      </c>
      <c r="G114" s="604">
        <f>ROUND(SUM(C114:F114)/2,0)</f>
        <v>0</v>
      </c>
      <c r="H114" s="604"/>
      <c r="I114" s="604"/>
      <c r="J114" s="604"/>
      <c r="K114" s="604"/>
      <c r="L114" s="604"/>
      <c r="M114" s="604"/>
      <c r="N114" s="604"/>
      <c r="O114" s="604"/>
      <c r="P114" s="604"/>
      <c r="Q114" s="604"/>
      <c r="R114" s="604"/>
      <c r="S114" s="604"/>
      <c r="T114" s="422"/>
      <c r="U114" s="422"/>
    </row>
    <row r="115" spans="1:21">
      <c r="A115" s="525">
        <f t="shared" si="8"/>
        <v>90</v>
      </c>
      <c r="B115" s="512" t="s">
        <v>1088</v>
      </c>
      <c r="C115" s="503">
        <f>479618.98+402521.88+587775.4</f>
        <v>1469916.26</v>
      </c>
      <c r="D115" s="503">
        <f>462916.9+406736.18+530664.26</f>
        <v>1400317.34</v>
      </c>
      <c r="E115" s="499">
        <f t="shared" si="14"/>
        <v>-1469916.26</v>
      </c>
      <c r="F115" s="499">
        <f t="shared" si="14"/>
        <v>-1400317.34</v>
      </c>
      <c r="G115" s="499">
        <f t="shared" si="12"/>
        <v>0</v>
      </c>
      <c r="H115" s="499"/>
      <c r="I115" s="499"/>
      <c r="J115" s="499"/>
      <c r="K115" s="499"/>
      <c r="L115" s="499"/>
      <c r="M115" s="499"/>
      <c r="N115" s="499"/>
      <c r="O115" s="499"/>
      <c r="P115" s="499"/>
      <c r="Q115" s="499"/>
      <c r="R115" s="499"/>
      <c r="S115" s="499"/>
      <c r="T115" s="422"/>
      <c r="U115" s="422"/>
    </row>
    <row r="116" spans="1:21">
      <c r="A116" s="525">
        <f t="shared" si="8"/>
        <v>91</v>
      </c>
      <c r="B116" s="512" t="s">
        <v>1089</v>
      </c>
      <c r="C116" s="503">
        <v>68338.559999999998</v>
      </c>
      <c r="D116" s="503">
        <v>64067.4</v>
      </c>
      <c r="E116" s="499">
        <f t="shared" si="14"/>
        <v>-68338.559999999998</v>
      </c>
      <c r="F116" s="499">
        <f t="shared" si="14"/>
        <v>-64067.4</v>
      </c>
      <c r="G116" s="499">
        <f>ROUND(SUM(C116:F116)/2,0)</f>
        <v>0</v>
      </c>
      <c r="H116" s="499"/>
      <c r="I116" s="499"/>
      <c r="J116" s="499"/>
      <c r="K116" s="499"/>
      <c r="L116" s="499"/>
      <c r="M116" s="499"/>
      <c r="N116" s="499"/>
      <c r="O116" s="499"/>
      <c r="P116" s="499"/>
      <c r="Q116" s="499"/>
      <c r="R116" s="499"/>
      <c r="S116" s="499"/>
      <c r="T116" s="422"/>
      <c r="U116" s="422"/>
    </row>
    <row r="117" spans="1:21">
      <c r="A117" s="525">
        <f t="shared" si="8"/>
        <v>92</v>
      </c>
      <c r="B117" s="512" t="s">
        <v>1090</v>
      </c>
      <c r="C117" s="503">
        <v>0</v>
      </c>
      <c r="D117" s="503">
        <v>0</v>
      </c>
      <c r="E117" s="499">
        <f>-C117</f>
        <v>0</v>
      </c>
      <c r="F117" s="499">
        <f>-D117</f>
        <v>0</v>
      </c>
      <c r="G117" s="499">
        <f>ROUND(SUM(C117:F117)/2,0)</f>
        <v>0</v>
      </c>
      <c r="H117" s="499"/>
      <c r="I117" s="499">
        <f t="shared" ref="I117:K118" si="15">(M117+Q117)/2</f>
        <v>0</v>
      </c>
      <c r="J117" s="499">
        <f t="shared" si="15"/>
        <v>0</v>
      </c>
      <c r="K117" s="499">
        <f t="shared" si="15"/>
        <v>0</v>
      </c>
      <c r="L117" s="499"/>
      <c r="M117" s="499"/>
      <c r="N117" s="499"/>
      <c r="O117" s="499"/>
      <c r="P117" s="499"/>
      <c r="Q117" s="499"/>
      <c r="R117" s="499"/>
      <c r="S117" s="499"/>
      <c r="T117" s="422"/>
      <c r="U117" s="422"/>
    </row>
    <row r="118" spans="1:21">
      <c r="A118" s="525">
        <f t="shared" si="8"/>
        <v>93</v>
      </c>
      <c r="B118" s="512" t="s">
        <v>1091</v>
      </c>
      <c r="C118" s="499">
        <f>SUM(M118:O118)</f>
        <v>1536960.24</v>
      </c>
      <c r="D118" s="499">
        <f>SUM(Q118:S118)</f>
        <v>0</v>
      </c>
      <c r="E118" s="499"/>
      <c r="F118" s="499"/>
      <c r="G118" s="499">
        <f>ROUND(SUM(C118:F118)/2,0)</f>
        <v>768480</v>
      </c>
      <c r="H118" s="499"/>
      <c r="I118" s="499">
        <f t="shared" si="15"/>
        <v>768480.12</v>
      </c>
      <c r="J118" s="499">
        <f t="shared" si="15"/>
        <v>0</v>
      </c>
      <c r="K118" s="499">
        <f t="shared" si="15"/>
        <v>0</v>
      </c>
      <c r="L118" s="499"/>
      <c r="M118" s="503">
        <v>1536960.24</v>
      </c>
      <c r="N118" s="503">
        <v>0</v>
      </c>
      <c r="O118" s="503">
        <v>0</v>
      </c>
      <c r="P118" s="499"/>
      <c r="Q118" s="503">
        <v>0</v>
      </c>
      <c r="R118" s="503">
        <v>0</v>
      </c>
      <c r="S118" s="503">
        <v>0</v>
      </c>
      <c r="T118" s="422"/>
      <c r="U118" s="422"/>
    </row>
    <row r="119" spans="1:21">
      <c r="A119" s="525">
        <f t="shared" si="8"/>
        <v>94</v>
      </c>
      <c r="B119" s="499"/>
      <c r="C119" s="499"/>
      <c r="D119" s="499"/>
      <c r="E119" s="499"/>
      <c r="F119" s="499"/>
      <c r="G119" s="499"/>
      <c r="H119" s="499"/>
      <c r="I119" s="499"/>
      <c r="J119" s="499"/>
      <c r="K119" s="499"/>
      <c r="L119" s="499"/>
      <c r="M119" s="499"/>
      <c r="N119" s="499"/>
      <c r="O119" s="499"/>
      <c r="P119" s="499"/>
      <c r="Q119" s="499"/>
      <c r="R119" s="499"/>
      <c r="S119" s="499"/>
      <c r="T119" s="422"/>
      <c r="U119" s="422"/>
    </row>
    <row r="120" spans="1:21" ht="13.8" thickBot="1">
      <c r="A120" s="525">
        <f t="shared" si="8"/>
        <v>95</v>
      </c>
      <c r="B120" s="512" t="s">
        <v>1092</v>
      </c>
      <c r="C120" s="626">
        <f>SUM(C28:C119)</f>
        <v>398585901.18999994</v>
      </c>
      <c r="D120" s="626">
        <f t="shared" ref="D120:G120" si="16">SUM(D28:D119)</f>
        <v>399912651.76999992</v>
      </c>
      <c r="E120" s="626">
        <f t="shared" si="16"/>
        <v>-86339603.280000016</v>
      </c>
      <c r="F120" s="626">
        <f t="shared" si="16"/>
        <v>-104018140.72000001</v>
      </c>
      <c r="G120" s="626">
        <f t="shared" si="16"/>
        <v>304070404</v>
      </c>
      <c r="H120" s="499"/>
      <c r="I120" s="626">
        <f t="shared" ref="I120:K120" si="17">SUM(I28:I119)</f>
        <v>151897860.54000002</v>
      </c>
      <c r="J120" s="626">
        <f t="shared" si="17"/>
        <v>57314537.859999999</v>
      </c>
      <c r="K120" s="626">
        <f t="shared" si="17"/>
        <v>94858006.079999998</v>
      </c>
      <c r="L120" s="499"/>
      <c r="M120" s="626">
        <f t="shared" ref="M120:O120" si="18">SUM(M28:M119)</f>
        <v>161293288.84999993</v>
      </c>
      <c r="N120" s="626">
        <f t="shared" si="18"/>
        <v>55889586.940000005</v>
      </c>
      <c r="O120" s="626">
        <f t="shared" si="18"/>
        <v>95063422.11999999</v>
      </c>
      <c r="P120" s="499"/>
      <c r="Q120" s="626">
        <f t="shared" ref="Q120:S120" si="19">SUM(Q28:Q119)</f>
        <v>142502432.23000005</v>
      </c>
      <c r="R120" s="626">
        <f t="shared" si="19"/>
        <v>58739488.780000001</v>
      </c>
      <c r="S120" s="626">
        <f t="shared" si="19"/>
        <v>94652590.040000007</v>
      </c>
      <c r="T120" s="630" t="s">
        <v>1227</v>
      </c>
      <c r="U120" s="422"/>
    </row>
    <row r="121" spans="1:21" ht="13.8" thickTop="1">
      <c r="A121" s="514"/>
      <c r="B121" s="493"/>
      <c r="C121" s="515"/>
      <c r="D121" s="515"/>
      <c r="E121" s="515"/>
      <c r="F121" s="515"/>
      <c r="G121" s="515"/>
      <c r="H121" s="515"/>
      <c r="I121" s="515"/>
      <c r="J121" s="515"/>
      <c r="K121" s="515"/>
      <c r="L121" s="515"/>
      <c r="M121" s="493"/>
      <c r="N121" s="493"/>
      <c r="O121" s="493"/>
      <c r="P121" s="493"/>
      <c r="Q121" s="493"/>
      <c r="R121" s="493"/>
      <c r="S121" s="493"/>
      <c r="T121" s="422"/>
      <c r="U121" s="422"/>
    </row>
    <row r="122" spans="1:21">
      <c r="A122" s="514"/>
      <c r="B122" s="609" t="s">
        <v>687</v>
      </c>
      <c r="C122" s="609"/>
      <c r="D122" s="609"/>
      <c r="E122" s="609"/>
      <c r="F122" s="609"/>
      <c r="G122" s="609"/>
      <c r="H122" s="609"/>
      <c r="I122" s="609"/>
      <c r="J122" s="609"/>
      <c r="K122" s="609"/>
      <c r="L122" s="609"/>
      <c r="M122" s="609"/>
      <c r="N122" s="609"/>
      <c r="O122" s="609"/>
      <c r="P122" s="609"/>
      <c r="Q122" s="609">
        <f>Q42+Q43+Q44+Q45+Q46+Q47+Q51+Q52+Q54+Q55+Q56+Q82+Q84+Q85+Q86+Q87+Q90+Q111+Q112+Q113+Q114</f>
        <v>7410827.1499999994</v>
      </c>
      <c r="R122" s="609">
        <f t="shared" ref="R122:S122" si="20">R42+R43+R44+R45+R46+R47+R51+R52+R54+R55+R56+R82+R84+R85+R86+R87+R90+R111+R112+R113+R114</f>
        <v>271700.69999999995</v>
      </c>
      <c r="S122" s="609">
        <f t="shared" si="20"/>
        <v>13246604.409999998</v>
      </c>
      <c r="T122" s="422"/>
      <c r="U122" s="422"/>
    </row>
    <row r="123" spans="1:21">
      <c r="A123" s="514"/>
      <c r="B123" s="612" t="s">
        <v>688</v>
      </c>
      <c r="C123" s="612"/>
      <c r="D123" s="612"/>
      <c r="E123" s="612"/>
      <c r="F123" s="612"/>
      <c r="G123" s="612"/>
      <c r="H123" s="612"/>
      <c r="I123" s="612"/>
      <c r="J123" s="612"/>
      <c r="K123" s="612"/>
      <c r="L123" s="612"/>
      <c r="M123" s="612"/>
      <c r="N123" s="612"/>
      <c r="O123" s="612"/>
      <c r="P123" s="612"/>
      <c r="Q123" s="612">
        <f>Q36+Q37+Q40+Q41+Q49+Q50+Q61+Q69+Q76+Q77+Q80</f>
        <v>-154591.21000000014</v>
      </c>
      <c r="R123" s="612">
        <f t="shared" ref="R123:S123" si="21">R36+R37+R40+R41+R49+R50+R61+R69+R76+R77+R80</f>
        <v>330346.96000000002</v>
      </c>
      <c r="S123" s="612">
        <f t="shared" si="21"/>
        <v>0</v>
      </c>
      <c r="T123" s="422"/>
      <c r="U123" s="422"/>
    </row>
    <row r="124" spans="1:21">
      <c r="A124" s="514"/>
      <c r="B124" s="510" t="s">
        <v>295</v>
      </c>
      <c r="C124" s="510"/>
      <c r="D124" s="510"/>
      <c r="E124" s="510"/>
      <c r="F124" s="510"/>
      <c r="G124" s="510"/>
      <c r="H124" s="510"/>
      <c r="I124" s="510"/>
      <c r="J124" s="510"/>
      <c r="K124" s="510"/>
      <c r="L124" s="510"/>
      <c r="M124" s="510"/>
      <c r="N124" s="510"/>
      <c r="O124" s="510"/>
      <c r="P124" s="510"/>
      <c r="Q124" s="510">
        <f>Q88+Q89</f>
        <v>44220709.390000001</v>
      </c>
      <c r="R124" s="510">
        <f t="shared" ref="R124:S124" si="22">R88+R89</f>
        <v>8160.02</v>
      </c>
      <c r="S124" s="510">
        <f t="shared" si="22"/>
        <v>297632.18</v>
      </c>
      <c r="T124" s="422"/>
      <c r="U124" s="422"/>
    </row>
    <row r="125" spans="1:21" ht="13.8" thickBot="1">
      <c r="A125" s="514"/>
      <c r="B125" s="493" t="s">
        <v>689</v>
      </c>
      <c r="C125" s="515"/>
      <c r="D125" s="515"/>
      <c r="E125" s="515"/>
      <c r="F125" s="515"/>
      <c r="G125" s="515"/>
      <c r="H125" s="515"/>
      <c r="I125" s="515"/>
      <c r="J125" s="515"/>
      <c r="K125" s="515"/>
      <c r="L125" s="515"/>
      <c r="M125" s="493"/>
      <c r="N125" s="493"/>
      <c r="O125" s="493"/>
      <c r="P125" s="493"/>
      <c r="Q125" s="493">
        <f>Q28+Q29+Q30+Q31+Q32+Q33+Q34+Q35+Q38+Q39+Q48+Q53+Q57+Q58+Q59+Q60+Q62+Q63+Q64+Q65+Q66+Q67+Q68+Q70+Q71+Q72+Q73+Q74+Q75+Q78+Q79+Q81+Q83+Q91+Q92+Q93+Q94+Q95+Q96+Q97+Q98+Q99+Q100+Q101+Q102+Q103+Q104+Q105+Q106+Q107+Q108+Q109+Q110+Q115+Q116+Q117+Q118</f>
        <v>91025486.900000036</v>
      </c>
      <c r="R125" s="493">
        <f t="shared" ref="R125:S125" si="23">R28+R29+R30+R31+R32+R33+R34+R35+R38+R39+R48+R53+R57+R58+R59+R60+R62+R63+R64+R65+R66+R67+R68+R70+R71+R72+R73+R74+R75+R78+R79+R81+R83+R91+R92+R93+R94+R95+R96+R97+R98+R99+R100+R101+R102+R103+R104+R105+R106+R107+R108+R109+R110+R115+R116+R117+R118</f>
        <v>58129281.099999994</v>
      </c>
      <c r="S125" s="493">
        <f t="shared" si="23"/>
        <v>81108353.450000003</v>
      </c>
      <c r="T125" s="422"/>
      <c r="U125" s="422"/>
    </row>
    <row r="126" spans="1:21" ht="13.8" thickBot="1">
      <c r="A126" s="514"/>
      <c r="B126" s="616" t="s">
        <v>691</v>
      </c>
      <c r="C126" s="627"/>
      <c r="D126" s="627"/>
      <c r="E126" s="627"/>
      <c r="F126" s="627"/>
      <c r="G126" s="627"/>
      <c r="H126" s="627"/>
      <c r="I126" s="627"/>
      <c r="J126" s="627"/>
      <c r="K126" s="627"/>
      <c r="L126" s="627"/>
      <c r="M126" s="628"/>
      <c r="N126" s="628"/>
      <c r="O126" s="628"/>
      <c r="P126" s="628"/>
      <c r="Q126" s="628">
        <f>Q124+R120+S120</f>
        <v>197612788.21000001</v>
      </c>
      <c r="R126" s="628"/>
      <c r="S126" s="629"/>
      <c r="T126" s="422"/>
      <c r="U126" s="422"/>
    </row>
    <row r="127" spans="1:21">
      <c r="B127" s="413"/>
      <c r="C127" s="422"/>
      <c r="D127" s="422"/>
      <c r="E127" s="422"/>
      <c r="F127" s="422"/>
      <c r="G127" s="422"/>
      <c r="H127" s="422"/>
      <c r="I127" s="413"/>
      <c r="J127" s="413"/>
      <c r="K127" s="413"/>
      <c r="L127" s="413"/>
      <c r="M127" s="413"/>
      <c r="N127" s="413"/>
      <c r="O127" s="413"/>
      <c r="P127" s="422"/>
      <c r="Q127" s="422"/>
      <c r="R127" s="422"/>
      <c r="S127" s="422"/>
      <c r="T127" s="422"/>
      <c r="U127" s="422"/>
    </row>
    <row r="128" spans="1:21">
      <c r="B128" s="413"/>
      <c r="C128" s="422"/>
      <c r="D128" s="422"/>
      <c r="E128" s="422"/>
      <c r="F128" s="422"/>
      <c r="G128" s="422"/>
      <c r="H128" s="422"/>
      <c r="I128" s="413"/>
      <c r="J128" s="413"/>
      <c r="K128" s="413"/>
      <c r="L128" s="413"/>
      <c r="M128" s="413"/>
      <c r="N128" s="413"/>
      <c r="O128" s="413"/>
      <c r="P128" s="422"/>
      <c r="Q128" s="422"/>
      <c r="R128" s="422"/>
      <c r="S128" s="422"/>
      <c r="T128" s="422"/>
      <c r="U128" s="422"/>
    </row>
    <row r="129" spans="2:21">
      <c r="B129" s="413"/>
      <c r="C129" s="422"/>
      <c r="D129" s="422"/>
      <c r="E129" s="422"/>
      <c r="F129" s="422"/>
      <c r="G129" s="422"/>
      <c r="H129" s="422"/>
      <c r="I129" s="413"/>
      <c r="J129" s="413"/>
      <c r="K129" s="413"/>
      <c r="L129" s="413"/>
      <c r="M129" s="413"/>
      <c r="N129" s="413"/>
      <c r="O129" s="413"/>
      <c r="P129" s="422"/>
      <c r="Q129" s="422"/>
      <c r="R129" s="422"/>
      <c r="S129" s="422"/>
      <c r="T129" s="422"/>
      <c r="U129" s="422"/>
    </row>
    <row r="130" spans="2:21">
      <c r="B130" s="413"/>
      <c r="C130" s="422"/>
      <c r="D130" s="422"/>
      <c r="E130" s="422"/>
      <c r="F130" s="422"/>
      <c r="G130" s="422"/>
      <c r="H130" s="422"/>
      <c r="I130" s="413"/>
      <c r="J130" s="413"/>
      <c r="K130" s="413"/>
      <c r="L130" s="413"/>
      <c r="M130" s="413"/>
      <c r="N130" s="413"/>
      <c r="O130" s="413"/>
      <c r="P130" s="422"/>
      <c r="Q130" s="422"/>
      <c r="R130" s="422"/>
      <c r="S130" s="422"/>
      <c r="T130" s="422"/>
      <c r="U130" s="422"/>
    </row>
    <row r="131" spans="2:21">
      <c r="B131" s="413"/>
      <c r="C131" s="422"/>
      <c r="D131" s="422"/>
      <c r="E131" s="422"/>
      <c r="F131" s="422"/>
      <c r="G131" s="422"/>
      <c r="H131" s="422"/>
      <c r="I131" s="413"/>
      <c r="J131" s="413"/>
      <c r="K131" s="413"/>
      <c r="L131" s="413"/>
      <c r="M131" s="413"/>
      <c r="N131" s="413"/>
      <c r="O131" s="413"/>
      <c r="P131" s="422"/>
      <c r="Q131" s="422"/>
      <c r="R131" s="422"/>
      <c r="S131" s="422"/>
      <c r="T131" s="422"/>
      <c r="U131" s="422"/>
    </row>
    <row r="132" spans="2:21">
      <c r="B132" s="413"/>
      <c r="C132" s="422"/>
      <c r="D132" s="422"/>
      <c r="E132" s="422"/>
      <c r="F132" s="422"/>
      <c r="G132" s="422"/>
      <c r="H132" s="422"/>
      <c r="I132" s="413"/>
      <c r="J132" s="413"/>
      <c r="K132" s="413"/>
      <c r="L132" s="413"/>
      <c r="M132" s="413"/>
      <c r="N132" s="413"/>
      <c r="O132" s="413"/>
      <c r="P132" s="422"/>
      <c r="Q132" s="422"/>
      <c r="R132" s="422"/>
      <c r="S132" s="422"/>
      <c r="T132" s="422"/>
      <c r="U132" s="422"/>
    </row>
    <row r="133" spans="2:21">
      <c r="B133" s="413"/>
      <c r="C133" s="422"/>
      <c r="D133" s="422"/>
      <c r="E133" s="422"/>
      <c r="F133" s="422"/>
      <c r="G133" s="422"/>
      <c r="H133" s="422"/>
      <c r="I133" s="413"/>
      <c r="J133" s="413"/>
      <c r="K133" s="413"/>
      <c r="L133" s="413"/>
      <c r="M133" s="413"/>
      <c r="N133" s="413"/>
      <c r="O133" s="413"/>
      <c r="P133" s="422"/>
      <c r="Q133" s="422"/>
      <c r="R133" s="422"/>
      <c r="S133" s="422"/>
      <c r="T133" s="422"/>
      <c r="U133" s="422"/>
    </row>
    <row r="134" spans="2:21">
      <c r="B134" s="413"/>
      <c r="C134" s="422"/>
      <c r="D134" s="422"/>
      <c r="E134" s="422"/>
      <c r="F134" s="422"/>
      <c r="G134" s="422"/>
      <c r="H134" s="422"/>
      <c r="I134" s="413"/>
      <c r="J134" s="413"/>
      <c r="K134" s="413"/>
      <c r="L134" s="413"/>
      <c r="M134" s="413"/>
      <c r="N134" s="413"/>
      <c r="O134" s="413"/>
      <c r="P134" s="422"/>
      <c r="Q134" s="422"/>
      <c r="R134" s="422"/>
      <c r="S134" s="422"/>
      <c r="T134" s="422"/>
      <c r="U134" s="422"/>
    </row>
    <row r="135" spans="2:21">
      <c r="B135" s="413"/>
      <c r="C135" s="422"/>
      <c r="D135" s="422"/>
      <c r="E135" s="422"/>
      <c r="F135" s="422"/>
      <c r="G135" s="422"/>
      <c r="H135" s="422"/>
      <c r="I135" s="413"/>
      <c r="J135" s="413"/>
      <c r="K135" s="413"/>
      <c r="L135" s="413"/>
      <c r="M135" s="413"/>
      <c r="N135" s="413"/>
      <c r="O135" s="413"/>
      <c r="P135" s="422"/>
      <c r="Q135" s="422"/>
      <c r="R135" s="422"/>
      <c r="S135" s="422"/>
      <c r="T135" s="422"/>
      <c r="U135" s="422"/>
    </row>
    <row r="136" spans="2:21">
      <c r="B136" s="413"/>
      <c r="C136" s="422"/>
      <c r="D136" s="422"/>
      <c r="E136" s="422"/>
      <c r="F136" s="422"/>
      <c r="G136" s="422"/>
      <c r="H136" s="422"/>
      <c r="I136" s="413"/>
      <c r="J136" s="413"/>
      <c r="K136" s="413"/>
      <c r="L136" s="413"/>
      <c r="M136" s="413"/>
      <c r="N136" s="413"/>
      <c r="O136" s="413"/>
      <c r="P136" s="422"/>
      <c r="Q136" s="422"/>
      <c r="R136" s="422"/>
      <c r="S136" s="422"/>
      <c r="T136" s="422"/>
      <c r="U136" s="422"/>
    </row>
    <row r="137" spans="2:21">
      <c r="B137" s="413"/>
      <c r="C137" s="422"/>
      <c r="D137" s="422"/>
      <c r="E137" s="422"/>
      <c r="F137" s="422"/>
      <c r="G137" s="422"/>
      <c r="H137" s="422"/>
      <c r="I137" s="413"/>
      <c r="J137" s="413"/>
      <c r="K137" s="413"/>
      <c r="L137" s="413"/>
      <c r="M137" s="413"/>
      <c r="N137" s="413"/>
      <c r="O137" s="413"/>
      <c r="P137" s="422"/>
      <c r="Q137" s="422"/>
      <c r="R137" s="422"/>
      <c r="S137" s="422"/>
      <c r="T137" s="422"/>
      <c r="U137" s="422"/>
    </row>
    <row r="138" spans="2:21">
      <c r="B138" s="413"/>
      <c r="C138" s="422"/>
      <c r="D138" s="422"/>
      <c r="E138" s="422"/>
      <c r="F138" s="422"/>
      <c r="G138" s="422"/>
      <c r="H138" s="422"/>
      <c r="I138" s="413"/>
      <c r="J138" s="413"/>
      <c r="K138" s="413"/>
      <c r="L138" s="413"/>
      <c r="M138" s="413"/>
      <c r="N138" s="413"/>
      <c r="O138" s="413"/>
      <c r="P138" s="422"/>
      <c r="Q138" s="422"/>
      <c r="R138" s="422"/>
      <c r="S138" s="422"/>
      <c r="T138" s="422"/>
      <c r="U138" s="422"/>
    </row>
    <row r="139" spans="2:21">
      <c r="B139" s="413"/>
      <c r="C139" s="422"/>
      <c r="D139" s="422"/>
      <c r="E139" s="422"/>
      <c r="F139" s="422"/>
      <c r="G139" s="422"/>
      <c r="H139" s="422"/>
      <c r="I139" s="413"/>
      <c r="J139" s="413"/>
      <c r="K139" s="413"/>
      <c r="L139" s="413"/>
      <c r="M139" s="413"/>
      <c r="N139" s="413"/>
      <c r="O139" s="413"/>
      <c r="P139" s="422"/>
      <c r="Q139" s="422"/>
      <c r="R139" s="422"/>
      <c r="S139" s="422"/>
      <c r="T139" s="422"/>
      <c r="U139" s="422"/>
    </row>
    <row r="140" spans="2:21">
      <c r="B140" s="413"/>
      <c r="C140" s="422"/>
      <c r="D140" s="422"/>
      <c r="E140" s="422"/>
      <c r="F140" s="422"/>
      <c r="G140" s="422"/>
      <c r="H140" s="422"/>
      <c r="I140" s="413"/>
      <c r="J140" s="413"/>
      <c r="K140" s="413"/>
      <c r="L140" s="413"/>
      <c r="M140" s="413"/>
      <c r="N140" s="413"/>
      <c r="O140" s="413"/>
      <c r="P140" s="422"/>
      <c r="Q140" s="422"/>
      <c r="R140" s="422"/>
      <c r="S140" s="422"/>
      <c r="T140" s="422"/>
      <c r="U140" s="422"/>
    </row>
    <row r="141" spans="2:21">
      <c r="B141" s="413"/>
      <c r="C141" s="422"/>
      <c r="D141" s="422"/>
      <c r="E141" s="422"/>
      <c r="F141" s="422"/>
      <c r="G141" s="422"/>
      <c r="H141" s="422"/>
      <c r="I141" s="413"/>
      <c r="J141" s="413"/>
      <c r="K141" s="413"/>
      <c r="L141" s="413"/>
      <c r="M141" s="413"/>
      <c r="N141" s="413"/>
      <c r="O141" s="413"/>
      <c r="P141" s="422"/>
      <c r="Q141" s="422"/>
      <c r="R141" s="422"/>
      <c r="S141" s="422"/>
      <c r="T141" s="422"/>
      <c r="U141" s="422"/>
    </row>
    <row r="142" spans="2:21">
      <c r="B142" s="413"/>
      <c r="C142" s="422"/>
      <c r="D142" s="422"/>
      <c r="E142" s="422"/>
      <c r="F142" s="422"/>
      <c r="G142" s="422"/>
      <c r="H142" s="422"/>
      <c r="I142" s="413"/>
      <c r="J142" s="413"/>
      <c r="K142" s="413"/>
      <c r="L142" s="413"/>
      <c r="M142" s="413"/>
      <c r="N142" s="413"/>
      <c r="O142" s="413"/>
      <c r="P142" s="422"/>
      <c r="Q142" s="422"/>
      <c r="R142" s="422"/>
      <c r="S142" s="422"/>
      <c r="T142" s="422"/>
      <c r="U142" s="422"/>
    </row>
    <row r="143" spans="2:21">
      <c r="B143" s="413"/>
      <c r="C143" s="422"/>
      <c r="D143" s="422"/>
      <c r="E143" s="422"/>
      <c r="F143" s="422"/>
      <c r="G143" s="422"/>
      <c r="H143" s="422"/>
      <c r="I143" s="413"/>
      <c r="J143" s="413"/>
      <c r="K143" s="413"/>
      <c r="L143" s="413"/>
      <c r="M143" s="413"/>
      <c r="N143" s="413"/>
      <c r="O143" s="413"/>
      <c r="P143" s="422"/>
      <c r="Q143" s="422"/>
      <c r="R143" s="422"/>
      <c r="S143" s="422"/>
      <c r="T143" s="422"/>
      <c r="U143" s="422"/>
    </row>
    <row r="144" spans="2:21">
      <c r="B144" s="413"/>
      <c r="C144" s="422"/>
      <c r="D144" s="422"/>
      <c r="E144" s="422"/>
      <c r="F144" s="422"/>
      <c r="G144" s="422"/>
      <c r="H144" s="422"/>
      <c r="I144" s="413"/>
      <c r="J144" s="413"/>
      <c r="K144" s="413"/>
      <c r="L144" s="413"/>
      <c r="M144" s="413"/>
      <c r="N144" s="413"/>
      <c r="O144" s="413"/>
      <c r="P144" s="422"/>
      <c r="Q144" s="422"/>
      <c r="R144" s="422"/>
      <c r="S144" s="422"/>
      <c r="T144" s="422"/>
      <c r="U144" s="422"/>
    </row>
    <row r="145" spans="2:21">
      <c r="B145" s="413"/>
      <c r="C145" s="422"/>
      <c r="D145" s="422"/>
      <c r="E145" s="422"/>
      <c r="F145" s="422"/>
      <c r="G145" s="422"/>
      <c r="H145" s="422"/>
      <c r="I145" s="413"/>
      <c r="J145" s="413"/>
      <c r="K145" s="413"/>
      <c r="L145" s="413"/>
      <c r="M145" s="413"/>
      <c r="N145" s="413"/>
      <c r="O145" s="413"/>
      <c r="P145" s="422"/>
      <c r="Q145" s="422"/>
      <c r="R145" s="422"/>
      <c r="S145" s="422"/>
      <c r="T145" s="422"/>
      <c r="U145" s="422"/>
    </row>
    <row r="146" spans="2:21">
      <c r="B146" s="413"/>
      <c r="C146" s="422"/>
      <c r="D146" s="422"/>
      <c r="E146" s="422"/>
      <c r="F146" s="422"/>
      <c r="G146" s="422"/>
      <c r="H146" s="422"/>
      <c r="I146" s="413"/>
      <c r="J146" s="413"/>
      <c r="K146" s="413"/>
      <c r="L146" s="413"/>
      <c r="M146" s="413"/>
      <c r="N146" s="413"/>
      <c r="O146" s="413"/>
      <c r="P146" s="422"/>
      <c r="Q146" s="422"/>
      <c r="R146" s="422"/>
      <c r="S146" s="422"/>
      <c r="T146" s="422"/>
      <c r="U146" s="422"/>
    </row>
    <row r="147" spans="2:21">
      <c r="B147" s="413"/>
      <c r="C147" s="422"/>
      <c r="D147" s="422"/>
      <c r="E147" s="422"/>
      <c r="F147" s="422"/>
      <c r="G147" s="422"/>
      <c r="H147" s="422"/>
      <c r="I147" s="413"/>
      <c r="J147" s="413"/>
      <c r="K147" s="413"/>
      <c r="L147" s="413"/>
      <c r="M147" s="413"/>
      <c r="N147" s="413"/>
      <c r="O147" s="413"/>
      <c r="P147" s="422"/>
      <c r="Q147" s="422"/>
      <c r="R147" s="422"/>
      <c r="S147" s="422"/>
      <c r="T147" s="422"/>
      <c r="U147" s="422"/>
    </row>
    <row r="148" spans="2:21">
      <c r="B148" s="413"/>
      <c r="C148" s="422"/>
      <c r="D148" s="422"/>
      <c r="E148" s="422"/>
      <c r="F148" s="422"/>
      <c r="G148" s="422"/>
      <c r="H148" s="422"/>
      <c r="I148" s="413"/>
      <c r="J148" s="413"/>
      <c r="K148" s="413"/>
      <c r="L148" s="413"/>
      <c r="M148" s="413"/>
      <c r="N148" s="413"/>
      <c r="O148" s="413"/>
      <c r="P148" s="422"/>
      <c r="Q148" s="422"/>
      <c r="R148" s="422"/>
      <c r="S148" s="422"/>
      <c r="T148" s="422"/>
      <c r="U148" s="422"/>
    </row>
    <row r="149" spans="2:21">
      <c r="B149" s="413"/>
      <c r="C149" s="422"/>
      <c r="D149" s="422"/>
      <c r="E149" s="422"/>
      <c r="F149" s="422"/>
      <c r="G149" s="422"/>
      <c r="H149" s="422"/>
      <c r="I149" s="413"/>
      <c r="J149" s="413"/>
      <c r="K149" s="413"/>
      <c r="L149" s="413"/>
      <c r="M149" s="413"/>
      <c r="N149" s="413"/>
      <c r="O149" s="413"/>
      <c r="P149" s="422"/>
      <c r="Q149" s="422"/>
      <c r="R149" s="422"/>
      <c r="S149" s="422"/>
      <c r="T149" s="422"/>
      <c r="U149" s="422"/>
    </row>
    <row r="150" spans="2:21">
      <c r="B150" s="413"/>
      <c r="C150" s="422"/>
      <c r="D150" s="422"/>
      <c r="E150" s="422"/>
      <c r="F150" s="422"/>
      <c r="G150" s="422"/>
      <c r="H150" s="422"/>
      <c r="I150" s="413"/>
      <c r="J150" s="413"/>
      <c r="K150" s="413"/>
      <c r="L150" s="413"/>
      <c r="M150" s="413"/>
      <c r="N150" s="413"/>
      <c r="O150" s="413"/>
      <c r="P150" s="422"/>
      <c r="Q150" s="422"/>
      <c r="R150" s="422"/>
      <c r="S150" s="422"/>
      <c r="T150" s="422"/>
      <c r="U150" s="422"/>
    </row>
    <row r="151" spans="2:21">
      <c r="B151" s="413"/>
      <c r="C151" s="422"/>
      <c r="D151" s="422"/>
      <c r="E151" s="422"/>
      <c r="F151" s="422"/>
      <c r="G151" s="422"/>
      <c r="H151" s="422"/>
      <c r="I151" s="413"/>
      <c r="J151" s="413"/>
      <c r="K151" s="413"/>
      <c r="L151" s="413"/>
      <c r="M151" s="413"/>
      <c r="N151" s="413"/>
      <c r="O151" s="413"/>
      <c r="P151" s="422"/>
      <c r="Q151" s="422"/>
      <c r="R151" s="422"/>
      <c r="S151" s="422"/>
      <c r="T151" s="422"/>
      <c r="U151" s="422"/>
    </row>
    <row r="152" spans="2:21">
      <c r="B152" s="413"/>
      <c r="C152" s="422"/>
      <c r="D152" s="422"/>
      <c r="E152" s="422"/>
      <c r="F152" s="422"/>
      <c r="G152" s="422"/>
      <c r="H152" s="422"/>
      <c r="I152" s="413"/>
      <c r="J152" s="413"/>
      <c r="K152" s="413"/>
      <c r="L152" s="413"/>
      <c r="M152" s="413"/>
      <c r="N152" s="413"/>
      <c r="O152" s="413"/>
      <c r="P152" s="422"/>
      <c r="Q152" s="422"/>
      <c r="R152" s="422"/>
      <c r="S152" s="422"/>
      <c r="T152" s="422"/>
      <c r="U152" s="422"/>
    </row>
    <row r="153" spans="2:21">
      <c r="B153" s="413"/>
      <c r="C153" s="422"/>
      <c r="D153" s="422"/>
      <c r="E153" s="422"/>
      <c r="F153" s="422"/>
      <c r="G153" s="422"/>
      <c r="H153" s="422"/>
      <c r="I153" s="413"/>
      <c r="J153" s="413"/>
      <c r="K153" s="413"/>
      <c r="L153" s="413"/>
      <c r="M153" s="413"/>
      <c r="N153" s="413"/>
      <c r="O153" s="413"/>
      <c r="P153" s="422"/>
      <c r="Q153" s="422"/>
      <c r="R153" s="422"/>
      <c r="S153" s="422"/>
      <c r="T153" s="422"/>
      <c r="U153" s="422"/>
    </row>
    <row r="154" spans="2:21">
      <c r="B154" s="413"/>
      <c r="C154" s="422"/>
      <c r="D154" s="422"/>
      <c r="E154" s="422"/>
      <c r="F154" s="422"/>
      <c r="G154" s="422"/>
      <c r="H154" s="422"/>
      <c r="I154" s="413"/>
      <c r="J154" s="413"/>
      <c r="K154" s="413"/>
      <c r="L154" s="413"/>
      <c r="M154" s="413"/>
      <c r="N154" s="413"/>
      <c r="O154" s="413"/>
      <c r="P154" s="422"/>
      <c r="Q154" s="422"/>
      <c r="R154" s="422"/>
      <c r="S154" s="422"/>
      <c r="T154" s="422"/>
      <c r="U154" s="422"/>
    </row>
    <row r="155" spans="2:21">
      <c r="B155" s="413"/>
      <c r="C155" s="422"/>
      <c r="D155" s="422"/>
      <c r="E155" s="422"/>
      <c r="F155" s="422"/>
      <c r="G155" s="422"/>
      <c r="H155" s="422"/>
      <c r="I155" s="413"/>
      <c r="J155" s="413"/>
      <c r="K155" s="413"/>
      <c r="L155" s="413"/>
      <c r="M155" s="413"/>
      <c r="N155" s="413"/>
      <c r="O155" s="413"/>
      <c r="P155" s="422"/>
      <c r="Q155" s="422"/>
      <c r="R155" s="422"/>
      <c r="S155" s="422"/>
      <c r="T155" s="422"/>
      <c r="U155" s="422"/>
    </row>
    <row r="156" spans="2:21">
      <c r="B156" s="413"/>
      <c r="C156" s="422"/>
      <c r="D156" s="422"/>
      <c r="E156" s="422"/>
      <c r="F156" s="422"/>
      <c r="G156" s="422"/>
      <c r="H156" s="422"/>
      <c r="I156" s="413"/>
      <c r="J156" s="413"/>
      <c r="K156" s="413"/>
      <c r="L156" s="413"/>
      <c r="M156" s="413"/>
      <c r="N156" s="413"/>
      <c r="O156" s="413"/>
      <c r="P156" s="422"/>
      <c r="Q156" s="422"/>
      <c r="R156" s="422"/>
      <c r="S156" s="422"/>
      <c r="T156" s="422"/>
      <c r="U156" s="422"/>
    </row>
    <row r="157" spans="2:21">
      <c r="B157" s="413"/>
      <c r="C157" s="422"/>
      <c r="D157" s="422"/>
      <c r="E157" s="422"/>
      <c r="F157" s="422"/>
      <c r="G157" s="422"/>
      <c r="H157" s="422"/>
      <c r="I157" s="413"/>
      <c r="J157" s="413"/>
      <c r="K157" s="413"/>
      <c r="L157" s="413"/>
      <c r="M157" s="413"/>
      <c r="N157" s="413"/>
      <c r="O157" s="413"/>
      <c r="P157" s="422"/>
      <c r="Q157" s="422"/>
      <c r="R157" s="422"/>
      <c r="S157" s="422"/>
      <c r="T157" s="422"/>
      <c r="U157" s="422"/>
    </row>
    <row r="158" spans="2:21">
      <c r="B158" s="413"/>
      <c r="C158" s="422"/>
      <c r="D158" s="422"/>
      <c r="E158" s="422"/>
      <c r="F158" s="422"/>
      <c r="G158" s="422"/>
      <c r="H158" s="422"/>
      <c r="I158" s="413"/>
      <c r="J158" s="413"/>
      <c r="K158" s="413"/>
      <c r="L158" s="413"/>
      <c r="M158" s="413"/>
      <c r="N158" s="413"/>
      <c r="O158" s="413"/>
      <c r="P158" s="422"/>
      <c r="Q158" s="422"/>
      <c r="R158" s="422"/>
      <c r="S158" s="422"/>
      <c r="T158" s="422"/>
      <c r="U158" s="422"/>
    </row>
    <row r="159" spans="2:21">
      <c r="B159" s="413"/>
      <c r="C159" s="422"/>
      <c r="D159" s="422"/>
      <c r="E159" s="422"/>
      <c r="F159" s="422"/>
      <c r="G159" s="422"/>
      <c r="H159" s="422"/>
      <c r="I159" s="413"/>
      <c r="J159" s="413"/>
      <c r="K159" s="413"/>
      <c r="L159" s="413"/>
      <c r="M159" s="413"/>
      <c r="N159" s="413"/>
      <c r="O159" s="413"/>
      <c r="P159" s="422"/>
      <c r="Q159" s="422"/>
      <c r="R159" s="422"/>
      <c r="S159" s="422"/>
      <c r="T159" s="422"/>
      <c r="U159" s="422"/>
    </row>
    <row r="160" spans="2:21">
      <c r="B160" s="413"/>
      <c r="C160" s="422"/>
      <c r="D160" s="422"/>
      <c r="E160" s="422"/>
      <c r="F160" s="422"/>
      <c r="G160" s="422"/>
      <c r="H160" s="422"/>
      <c r="I160" s="413"/>
      <c r="J160" s="413"/>
      <c r="K160" s="413"/>
      <c r="L160" s="413"/>
      <c r="M160" s="413"/>
      <c r="N160" s="413"/>
      <c r="O160" s="413"/>
      <c r="P160" s="422"/>
      <c r="Q160" s="422"/>
      <c r="R160" s="422"/>
      <c r="S160" s="422"/>
      <c r="T160" s="422"/>
      <c r="U160" s="422"/>
    </row>
    <row r="161" spans="2:21">
      <c r="B161" s="413"/>
      <c r="C161" s="422"/>
      <c r="D161" s="422"/>
      <c r="E161" s="422"/>
      <c r="F161" s="422"/>
      <c r="G161" s="422"/>
      <c r="H161" s="422"/>
      <c r="I161" s="413"/>
      <c r="J161" s="413"/>
      <c r="K161" s="413"/>
      <c r="L161" s="413"/>
      <c r="M161" s="413"/>
      <c r="N161" s="413"/>
      <c r="O161" s="413"/>
      <c r="P161" s="422"/>
      <c r="Q161" s="422"/>
      <c r="R161" s="422"/>
      <c r="S161" s="422"/>
      <c r="T161" s="422"/>
      <c r="U161" s="422"/>
    </row>
    <row r="162" spans="2:21">
      <c r="B162" s="413"/>
      <c r="C162" s="422"/>
      <c r="D162" s="422"/>
      <c r="E162" s="422"/>
      <c r="F162" s="422"/>
      <c r="G162" s="422"/>
      <c r="H162" s="422"/>
      <c r="I162" s="413"/>
      <c r="J162" s="413"/>
      <c r="K162" s="413"/>
      <c r="L162" s="413"/>
      <c r="M162" s="413"/>
      <c r="N162" s="413"/>
      <c r="O162" s="413"/>
      <c r="P162" s="422"/>
      <c r="Q162" s="422"/>
      <c r="R162" s="422"/>
      <c r="S162" s="422"/>
      <c r="T162" s="422"/>
      <c r="U162" s="422"/>
    </row>
    <row r="163" spans="2:21">
      <c r="B163" s="413"/>
      <c r="C163" s="422"/>
      <c r="D163" s="422"/>
      <c r="E163" s="422"/>
      <c r="F163" s="422"/>
      <c r="G163" s="422"/>
      <c r="H163" s="422"/>
      <c r="I163" s="413"/>
      <c r="J163" s="413"/>
      <c r="K163" s="413"/>
      <c r="L163" s="413"/>
      <c r="M163" s="413"/>
      <c r="N163" s="413"/>
      <c r="O163" s="413"/>
      <c r="P163" s="422"/>
      <c r="Q163" s="422"/>
      <c r="R163" s="422"/>
      <c r="S163" s="422"/>
      <c r="T163" s="422"/>
      <c r="U163" s="422"/>
    </row>
    <row r="164" spans="2:21">
      <c r="B164" s="413"/>
      <c r="C164" s="422"/>
      <c r="D164" s="422"/>
      <c r="E164" s="422"/>
      <c r="F164" s="422"/>
      <c r="G164" s="422"/>
      <c r="H164" s="422"/>
      <c r="I164" s="413"/>
      <c r="J164" s="413"/>
      <c r="K164" s="413"/>
      <c r="L164" s="413"/>
      <c r="M164" s="413"/>
      <c r="N164" s="413"/>
      <c r="O164" s="413"/>
      <c r="P164" s="422"/>
      <c r="Q164" s="422"/>
      <c r="R164" s="422"/>
      <c r="S164" s="422"/>
      <c r="T164" s="422"/>
      <c r="U164" s="422"/>
    </row>
    <row r="165" spans="2:21">
      <c r="B165" s="413"/>
      <c r="C165" s="422"/>
      <c r="D165" s="422"/>
      <c r="E165" s="422"/>
      <c r="F165" s="422"/>
      <c r="G165" s="422"/>
      <c r="H165" s="422"/>
      <c r="I165" s="413"/>
      <c r="J165" s="413"/>
      <c r="K165" s="413"/>
      <c r="L165" s="413"/>
      <c r="M165" s="413"/>
      <c r="N165" s="413"/>
      <c r="O165" s="413"/>
      <c r="P165" s="422"/>
      <c r="Q165" s="422"/>
      <c r="R165" s="422"/>
      <c r="S165" s="422"/>
      <c r="T165" s="422"/>
      <c r="U165" s="422"/>
    </row>
    <row r="166" spans="2:21">
      <c r="B166" s="413"/>
      <c r="C166" s="422"/>
      <c r="D166" s="422"/>
      <c r="E166" s="422"/>
      <c r="F166" s="422"/>
      <c r="G166" s="422"/>
      <c r="H166" s="422"/>
      <c r="I166" s="413"/>
      <c r="J166" s="413"/>
      <c r="K166" s="413"/>
      <c r="L166" s="413"/>
      <c r="M166" s="413"/>
      <c r="N166" s="413"/>
      <c r="O166" s="413"/>
      <c r="P166" s="422"/>
      <c r="Q166" s="422"/>
      <c r="R166" s="422"/>
      <c r="S166" s="422"/>
      <c r="T166" s="422"/>
      <c r="U166" s="422"/>
    </row>
    <row r="167" spans="2:21">
      <c r="B167" s="413"/>
      <c r="C167" s="422"/>
      <c r="D167" s="422"/>
      <c r="E167" s="422"/>
      <c r="F167" s="422"/>
      <c r="G167" s="422"/>
      <c r="H167" s="422"/>
      <c r="I167" s="413"/>
      <c r="J167" s="413"/>
      <c r="K167" s="413"/>
      <c r="L167" s="413"/>
      <c r="M167" s="413"/>
      <c r="N167" s="413"/>
      <c r="O167" s="413"/>
      <c r="P167" s="422"/>
      <c r="Q167" s="422"/>
      <c r="R167" s="422"/>
      <c r="S167" s="422"/>
      <c r="T167" s="422"/>
      <c r="U167" s="422"/>
    </row>
    <row r="168" spans="2:21">
      <c r="B168" s="413"/>
      <c r="C168" s="422"/>
      <c r="D168" s="422"/>
      <c r="E168" s="422"/>
      <c r="F168" s="422"/>
      <c r="G168" s="422"/>
      <c r="H168" s="422"/>
      <c r="I168" s="413"/>
      <c r="J168" s="413"/>
      <c r="K168" s="413"/>
      <c r="L168" s="413"/>
      <c r="M168" s="413"/>
      <c r="N168" s="413"/>
      <c r="O168" s="413"/>
      <c r="P168" s="422"/>
      <c r="Q168" s="422"/>
      <c r="R168" s="422"/>
      <c r="S168" s="422"/>
      <c r="T168" s="422"/>
      <c r="U168" s="422"/>
    </row>
    <row r="169" spans="2:21">
      <c r="B169" s="413"/>
      <c r="C169" s="422"/>
      <c r="D169" s="422"/>
      <c r="E169" s="422"/>
      <c r="F169" s="422"/>
      <c r="G169" s="422"/>
      <c r="H169" s="422"/>
      <c r="I169" s="413"/>
      <c r="J169" s="413"/>
      <c r="K169" s="413"/>
      <c r="L169" s="413"/>
      <c r="M169" s="413"/>
      <c r="N169" s="413"/>
      <c r="O169" s="413"/>
      <c r="P169" s="422"/>
      <c r="Q169" s="422"/>
      <c r="R169" s="422"/>
      <c r="S169" s="422"/>
      <c r="T169" s="422"/>
      <c r="U169" s="422"/>
    </row>
    <row r="170" spans="2:21">
      <c r="B170" s="413"/>
      <c r="C170" s="422"/>
      <c r="D170" s="422"/>
      <c r="E170" s="422"/>
      <c r="F170" s="422"/>
      <c r="G170" s="422"/>
      <c r="H170" s="422"/>
      <c r="I170" s="413"/>
      <c r="J170" s="413"/>
      <c r="K170" s="413"/>
      <c r="L170" s="413"/>
      <c r="M170" s="413"/>
      <c r="N170" s="413"/>
      <c r="O170" s="413"/>
      <c r="P170" s="422"/>
      <c r="Q170" s="422"/>
      <c r="R170" s="422"/>
      <c r="S170" s="422"/>
      <c r="T170" s="422"/>
      <c r="U170" s="422"/>
    </row>
    <row r="171" spans="2:21">
      <c r="B171" s="413"/>
      <c r="C171" s="422"/>
      <c r="D171" s="422"/>
      <c r="E171" s="422"/>
      <c r="F171" s="422"/>
      <c r="G171" s="422"/>
      <c r="H171" s="422"/>
      <c r="I171" s="413"/>
      <c r="J171" s="413"/>
      <c r="K171" s="413"/>
      <c r="L171" s="413"/>
      <c r="M171" s="413"/>
      <c r="N171" s="413"/>
      <c r="O171" s="413"/>
      <c r="P171" s="422"/>
      <c r="Q171" s="422"/>
      <c r="R171" s="422"/>
      <c r="S171" s="422"/>
      <c r="T171" s="422"/>
      <c r="U171" s="422"/>
    </row>
    <row r="172" spans="2:21">
      <c r="B172" s="413"/>
      <c r="C172" s="422"/>
      <c r="D172" s="422"/>
      <c r="E172" s="422"/>
      <c r="F172" s="422"/>
      <c r="G172" s="422"/>
      <c r="H172" s="422"/>
      <c r="I172" s="413"/>
      <c r="J172" s="413"/>
      <c r="K172" s="413"/>
      <c r="L172" s="413"/>
      <c r="M172" s="413"/>
      <c r="N172" s="413"/>
      <c r="O172" s="413"/>
      <c r="P172" s="422"/>
      <c r="Q172" s="422"/>
      <c r="R172" s="422"/>
      <c r="S172" s="422"/>
      <c r="T172" s="422"/>
      <c r="U172" s="422"/>
    </row>
    <row r="173" spans="2:21">
      <c r="B173" s="413"/>
      <c r="C173" s="422"/>
      <c r="D173" s="422"/>
      <c r="E173" s="422"/>
      <c r="F173" s="422"/>
      <c r="G173" s="422"/>
      <c r="H173" s="422"/>
      <c r="I173" s="413"/>
      <c r="J173" s="413"/>
      <c r="K173" s="413"/>
      <c r="L173" s="413"/>
      <c r="M173" s="413"/>
      <c r="N173" s="413"/>
      <c r="O173" s="413"/>
      <c r="P173" s="422"/>
      <c r="Q173" s="422"/>
      <c r="R173" s="422"/>
      <c r="S173" s="422"/>
      <c r="T173" s="422"/>
      <c r="U173" s="422"/>
    </row>
    <row r="174" spans="2:21">
      <c r="B174" s="413"/>
      <c r="C174" s="422"/>
      <c r="D174" s="422"/>
      <c r="E174" s="422"/>
      <c r="F174" s="422"/>
      <c r="G174" s="422"/>
      <c r="H174" s="422"/>
      <c r="I174" s="413"/>
      <c r="J174" s="413"/>
      <c r="K174" s="413"/>
      <c r="L174" s="413"/>
      <c r="M174" s="413"/>
      <c r="N174" s="413"/>
      <c r="O174" s="413"/>
      <c r="P174" s="422"/>
      <c r="Q174" s="422"/>
      <c r="R174" s="422"/>
      <c r="S174" s="422"/>
      <c r="T174" s="422"/>
      <c r="U174" s="422"/>
    </row>
    <row r="175" spans="2:21">
      <c r="B175" s="413"/>
      <c r="C175" s="422"/>
      <c r="D175" s="422"/>
      <c r="E175" s="422"/>
      <c r="F175" s="422"/>
      <c r="G175" s="422"/>
      <c r="H175" s="422"/>
      <c r="I175" s="413"/>
      <c r="J175" s="413"/>
      <c r="K175" s="413"/>
      <c r="L175" s="413"/>
      <c r="M175" s="413"/>
      <c r="N175" s="413"/>
      <c r="O175" s="413"/>
      <c r="P175" s="422"/>
      <c r="Q175" s="422"/>
      <c r="R175" s="422"/>
      <c r="S175" s="422"/>
      <c r="T175" s="422"/>
      <c r="U175" s="422"/>
    </row>
    <row r="176" spans="2:21">
      <c r="B176" s="413"/>
      <c r="C176" s="422"/>
      <c r="D176" s="422"/>
      <c r="E176" s="422"/>
      <c r="F176" s="422"/>
      <c r="G176" s="422"/>
      <c r="H176" s="422"/>
      <c r="I176" s="413"/>
      <c r="J176" s="413"/>
      <c r="K176" s="413"/>
      <c r="L176" s="413"/>
      <c r="M176" s="413"/>
      <c r="N176" s="413"/>
      <c r="O176" s="413"/>
      <c r="P176" s="422"/>
      <c r="Q176" s="422"/>
      <c r="R176" s="422"/>
      <c r="S176" s="422"/>
      <c r="T176" s="422"/>
      <c r="U176" s="422"/>
    </row>
    <row r="177" spans="2:21">
      <c r="B177" s="413"/>
      <c r="C177" s="422"/>
      <c r="D177" s="422"/>
      <c r="E177" s="422"/>
      <c r="F177" s="422"/>
      <c r="G177" s="422"/>
      <c r="H177" s="422"/>
      <c r="I177" s="413"/>
      <c r="J177" s="413"/>
      <c r="K177" s="413"/>
      <c r="L177" s="413"/>
      <c r="M177" s="413"/>
      <c r="N177" s="413"/>
      <c r="O177" s="413"/>
      <c r="P177" s="422"/>
      <c r="Q177" s="422"/>
      <c r="R177" s="422"/>
      <c r="S177" s="422"/>
      <c r="T177" s="422"/>
      <c r="U177" s="422"/>
    </row>
    <row r="178" spans="2:21">
      <c r="B178" s="413"/>
      <c r="C178" s="422"/>
      <c r="D178" s="422"/>
      <c r="E178" s="422"/>
      <c r="F178" s="422"/>
      <c r="G178" s="422"/>
      <c r="H178" s="422"/>
      <c r="I178" s="413"/>
      <c r="J178" s="413"/>
      <c r="K178" s="413"/>
      <c r="L178" s="413"/>
      <c r="M178" s="413"/>
      <c r="N178" s="413"/>
      <c r="O178" s="413"/>
      <c r="P178" s="422"/>
      <c r="Q178" s="422"/>
      <c r="R178" s="422"/>
      <c r="S178" s="422"/>
      <c r="T178" s="422"/>
      <c r="U178" s="422"/>
    </row>
    <row r="179" spans="2:21">
      <c r="B179" s="413"/>
      <c r="C179" s="422"/>
      <c r="D179" s="422"/>
      <c r="E179" s="422"/>
      <c r="F179" s="422"/>
      <c r="G179" s="422"/>
      <c r="H179" s="422"/>
      <c r="I179" s="413"/>
      <c r="J179" s="413"/>
      <c r="K179" s="413"/>
      <c r="L179" s="413"/>
      <c r="M179" s="413"/>
      <c r="N179" s="413"/>
      <c r="O179" s="413"/>
      <c r="P179" s="422"/>
      <c r="Q179" s="422"/>
      <c r="R179" s="422"/>
      <c r="S179" s="422"/>
      <c r="T179" s="422"/>
      <c r="U179" s="422"/>
    </row>
    <row r="180" spans="2:21">
      <c r="B180" s="413"/>
      <c r="C180" s="422"/>
      <c r="D180" s="422"/>
      <c r="E180" s="422"/>
      <c r="F180" s="422"/>
      <c r="G180" s="422"/>
      <c r="H180" s="422"/>
      <c r="I180" s="413"/>
      <c r="J180" s="413"/>
      <c r="K180" s="413"/>
      <c r="L180" s="413"/>
      <c r="M180" s="413"/>
      <c r="N180" s="413"/>
      <c r="O180" s="413"/>
      <c r="P180" s="422"/>
      <c r="Q180" s="422"/>
      <c r="R180" s="422"/>
      <c r="S180" s="422"/>
      <c r="T180" s="422"/>
      <c r="U180" s="422"/>
    </row>
    <row r="181" spans="2:21">
      <c r="B181" s="413"/>
      <c r="C181" s="422"/>
      <c r="D181" s="422"/>
      <c r="E181" s="422"/>
      <c r="F181" s="422"/>
      <c r="G181" s="422"/>
      <c r="H181" s="422"/>
      <c r="I181" s="413"/>
      <c r="J181" s="413"/>
      <c r="K181" s="413"/>
      <c r="L181" s="413"/>
      <c r="M181" s="413"/>
      <c r="N181" s="413"/>
      <c r="O181" s="413"/>
      <c r="P181" s="422"/>
      <c r="Q181" s="422"/>
      <c r="R181" s="422"/>
      <c r="S181" s="422"/>
      <c r="T181" s="422"/>
      <c r="U181" s="422"/>
    </row>
    <row r="182" spans="2:21">
      <c r="B182" s="413"/>
      <c r="C182" s="422"/>
      <c r="D182" s="422"/>
      <c r="E182" s="422"/>
      <c r="F182" s="422"/>
      <c r="G182" s="422"/>
      <c r="H182" s="422"/>
      <c r="I182" s="413"/>
      <c r="J182" s="413"/>
      <c r="K182" s="413"/>
      <c r="L182" s="413"/>
      <c r="M182" s="413"/>
      <c r="N182" s="413"/>
      <c r="O182" s="413"/>
      <c r="P182" s="422"/>
      <c r="Q182" s="422"/>
      <c r="R182" s="422"/>
      <c r="S182" s="422"/>
      <c r="T182" s="422"/>
      <c r="U182" s="422"/>
    </row>
    <row r="183" spans="2:21">
      <c r="B183" s="413"/>
      <c r="C183" s="422"/>
      <c r="D183" s="422"/>
      <c r="E183" s="422"/>
      <c r="F183" s="422"/>
      <c r="G183" s="422"/>
      <c r="H183" s="422"/>
      <c r="I183" s="413"/>
      <c r="J183" s="413"/>
      <c r="K183" s="413"/>
      <c r="L183" s="413"/>
      <c r="M183" s="413"/>
      <c r="N183" s="413"/>
      <c r="O183" s="413"/>
      <c r="P183" s="422"/>
      <c r="Q183" s="422"/>
      <c r="R183" s="422"/>
      <c r="S183" s="422"/>
      <c r="T183" s="422"/>
      <c r="U183" s="422"/>
    </row>
    <row r="184" spans="2:21">
      <c r="B184" s="413"/>
      <c r="C184" s="422"/>
      <c r="D184" s="422"/>
      <c r="E184" s="422"/>
      <c r="F184" s="422"/>
      <c r="G184" s="422"/>
      <c r="H184" s="422"/>
      <c r="I184" s="413"/>
      <c r="J184" s="413"/>
      <c r="K184" s="413"/>
      <c r="L184" s="413"/>
      <c r="M184" s="413"/>
      <c r="N184" s="413"/>
      <c r="O184" s="413"/>
      <c r="P184" s="422"/>
      <c r="Q184" s="422"/>
      <c r="R184" s="422"/>
      <c r="S184" s="422"/>
      <c r="T184" s="422"/>
      <c r="U184" s="422"/>
    </row>
    <row r="185" spans="2:21">
      <c r="B185" s="413"/>
      <c r="C185" s="422"/>
      <c r="D185" s="422"/>
      <c r="E185" s="422"/>
      <c r="F185" s="422"/>
      <c r="G185" s="422"/>
      <c r="H185" s="422"/>
      <c r="I185" s="413"/>
      <c r="J185" s="413"/>
      <c r="K185" s="413"/>
      <c r="L185" s="413"/>
      <c r="M185" s="413"/>
      <c r="N185" s="413"/>
      <c r="O185" s="413"/>
      <c r="P185" s="422"/>
      <c r="Q185" s="422"/>
      <c r="R185" s="422"/>
      <c r="S185" s="422"/>
      <c r="T185" s="422"/>
      <c r="U185" s="422"/>
    </row>
    <row r="186" spans="2:21">
      <c r="B186" s="413"/>
      <c r="C186" s="422"/>
      <c r="D186" s="422"/>
      <c r="E186" s="422"/>
      <c r="F186" s="422"/>
      <c r="G186" s="422"/>
      <c r="H186" s="422"/>
      <c r="I186" s="413"/>
      <c r="J186" s="413"/>
      <c r="K186" s="413"/>
      <c r="L186" s="413"/>
      <c r="M186" s="413"/>
      <c r="N186" s="413"/>
      <c r="O186" s="413"/>
      <c r="P186" s="422"/>
      <c r="Q186" s="422"/>
      <c r="R186" s="422"/>
      <c r="S186" s="422"/>
      <c r="T186" s="422"/>
      <c r="U186" s="422"/>
    </row>
    <row r="187" spans="2:21">
      <c r="B187" s="413"/>
      <c r="C187" s="422"/>
      <c r="D187" s="422"/>
      <c r="E187" s="422"/>
      <c r="F187" s="422"/>
      <c r="G187" s="422"/>
      <c r="H187" s="422"/>
      <c r="I187" s="413"/>
      <c r="J187" s="413"/>
      <c r="K187" s="413"/>
      <c r="L187" s="413"/>
      <c r="M187" s="413"/>
      <c r="N187" s="413"/>
      <c r="O187" s="413"/>
      <c r="P187" s="422"/>
      <c r="Q187" s="422"/>
      <c r="R187" s="422"/>
      <c r="S187" s="422"/>
      <c r="T187" s="422"/>
      <c r="U187" s="422"/>
    </row>
    <row r="188" spans="2:21">
      <c r="B188" s="413"/>
      <c r="C188" s="422"/>
      <c r="D188" s="422"/>
      <c r="E188" s="422"/>
      <c r="F188" s="422"/>
      <c r="G188" s="422"/>
      <c r="H188" s="422"/>
      <c r="I188" s="413"/>
      <c r="J188" s="413"/>
      <c r="K188" s="413"/>
      <c r="L188" s="413"/>
      <c r="M188" s="413"/>
      <c r="N188" s="413"/>
      <c r="O188" s="413"/>
      <c r="P188" s="422"/>
      <c r="Q188" s="422"/>
      <c r="R188" s="422"/>
      <c r="S188" s="422"/>
      <c r="T188" s="422"/>
      <c r="U188" s="422"/>
    </row>
    <row r="189" spans="2:21">
      <c r="B189" s="413"/>
      <c r="C189" s="422"/>
      <c r="D189" s="422"/>
      <c r="E189" s="422"/>
      <c r="F189" s="422"/>
      <c r="G189" s="422"/>
      <c r="H189" s="422"/>
      <c r="I189" s="413"/>
      <c r="J189" s="413"/>
      <c r="K189" s="413"/>
      <c r="L189" s="413"/>
      <c r="M189" s="413"/>
      <c r="N189" s="413"/>
      <c r="O189" s="413"/>
      <c r="P189" s="422"/>
      <c r="Q189" s="422"/>
      <c r="R189" s="422"/>
      <c r="S189" s="422"/>
      <c r="T189" s="422"/>
      <c r="U189" s="422"/>
    </row>
    <row r="190" spans="2:21">
      <c r="B190" s="413"/>
      <c r="C190" s="422"/>
      <c r="D190" s="422"/>
      <c r="E190" s="422"/>
      <c r="F190" s="422"/>
      <c r="G190" s="422"/>
      <c r="H190" s="422"/>
      <c r="I190" s="413"/>
      <c r="J190" s="413"/>
      <c r="K190" s="413"/>
      <c r="L190" s="413"/>
      <c r="M190" s="413"/>
      <c r="N190" s="413"/>
      <c r="O190" s="413"/>
      <c r="P190" s="422"/>
      <c r="Q190" s="422"/>
      <c r="R190" s="422"/>
      <c r="S190" s="422"/>
      <c r="T190" s="422"/>
      <c r="U190" s="422"/>
    </row>
    <row r="191" spans="2:21">
      <c r="B191" s="413"/>
      <c r="C191" s="422"/>
      <c r="D191" s="422"/>
      <c r="E191" s="422"/>
      <c r="F191" s="422"/>
      <c r="G191" s="422"/>
      <c r="H191" s="422"/>
      <c r="I191" s="413"/>
      <c r="J191" s="413"/>
      <c r="K191" s="413"/>
      <c r="L191" s="413"/>
      <c r="M191" s="413"/>
      <c r="N191" s="413"/>
      <c r="O191" s="413"/>
      <c r="P191" s="422"/>
      <c r="Q191" s="422"/>
      <c r="R191" s="422"/>
      <c r="S191" s="422"/>
      <c r="T191" s="422"/>
      <c r="U191" s="422"/>
    </row>
    <row r="192" spans="2:21">
      <c r="B192" s="413"/>
      <c r="C192" s="422"/>
      <c r="D192" s="422"/>
      <c r="E192" s="422"/>
      <c r="F192" s="422"/>
      <c r="G192" s="422"/>
      <c r="H192" s="422"/>
      <c r="I192" s="413"/>
      <c r="J192" s="413"/>
      <c r="K192" s="413"/>
      <c r="L192" s="413"/>
      <c r="M192" s="413"/>
      <c r="N192" s="413"/>
      <c r="O192" s="413"/>
      <c r="P192" s="422"/>
      <c r="Q192" s="422"/>
      <c r="R192" s="422"/>
      <c r="S192" s="422"/>
      <c r="T192" s="422"/>
      <c r="U192" s="422"/>
    </row>
    <row r="193" spans="2:21">
      <c r="B193" s="413"/>
      <c r="C193" s="422"/>
      <c r="D193" s="422"/>
      <c r="E193" s="422"/>
      <c r="F193" s="422"/>
      <c r="G193" s="422"/>
      <c r="H193" s="422"/>
      <c r="I193" s="413"/>
      <c r="J193" s="413"/>
      <c r="K193" s="413"/>
      <c r="L193" s="413"/>
      <c r="M193" s="413"/>
      <c r="N193" s="413"/>
      <c r="O193" s="413"/>
      <c r="P193" s="422"/>
      <c r="Q193" s="422"/>
      <c r="R193" s="422"/>
      <c r="S193" s="422"/>
      <c r="T193" s="422"/>
      <c r="U193" s="422"/>
    </row>
    <row r="194" spans="2:21">
      <c r="B194" s="413"/>
      <c r="C194" s="422"/>
      <c r="D194" s="422"/>
      <c r="E194" s="422"/>
      <c r="F194" s="422"/>
      <c r="G194" s="422"/>
      <c r="H194" s="422"/>
      <c r="I194" s="413"/>
      <c r="J194" s="413"/>
      <c r="K194" s="413"/>
      <c r="L194" s="413"/>
      <c r="M194" s="413"/>
      <c r="N194" s="413"/>
      <c r="O194" s="413"/>
      <c r="P194" s="422"/>
      <c r="Q194" s="422"/>
      <c r="R194" s="422"/>
      <c r="S194" s="422"/>
      <c r="T194" s="422"/>
      <c r="U194" s="422"/>
    </row>
    <row r="195" spans="2:21">
      <c r="B195" s="413"/>
      <c r="C195" s="422"/>
      <c r="D195" s="422"/>
      <c r="E195" s="422"/>
      <c r="F195" s="422"/>
      <c r="G195" s="422"/>
      <c r="H195" s="422"/>
      <c r="I195" s="413"/>
      <c r="J195" s="413"/>
      <c r="K195" s="413"/>
      <c r="L195" s="413"/>
      <c r="M195" s="413"/>
      <c r="N195" s="413"/>
      <c r="O195" s="413"/>
      <c r="P195" s="422"/>
      <c r="Q195" s="422"/>
      <c r="R195" s="422"/>
      <c r="S195" s="422"/>
      <c r="T195" s="422"/>
      <c r="U195" s="422"/>
    </row>
    <row r="196" spans="2:21">
      <c r="B196" s="413"/>
      <c r="C196" s="422"/>
      <c r="D196" s="422"/>
      <c r="E196" s="422"/>
      <c r="F196" s="422"/>
      <c r="G196" s="422"/>
      <c r="H196" s="422"/>
      <c r="I196" s="413"/>
      <c r="J196" s="413"/>
      <c r="K196" s="413"/>
      <c r="L196" s="413"/>
      <c r="M196" s="413"/>
      <c r="N196" s="413"/>
      <c r="O196" s="413"/>
      <c r="P196" s="422"/>
      <c r="Q196" s="422"/>
      <c r="R196" s="422"/>
      <c r="S196" s="422"/>
      <c r="T196" s="422"/>
      <c r="U196" s="422"/>
    </row>
    <row r="197" spans="2:21">
      <c r="B197" s="413"/>
      <c r="C197" s="422"/>
      <c r="D197" s="422"/>
      <c r="E197" s="422"/>
      <c r="F197" s="422"/>
      <c r="G197" s="422"/>
      <c r="H197" s="422"/>
      <c r="I197" s="413"/>
      <c r="J197" s="413"/>
      <c r="K197" s="413"/>
      <c r="L197" s="413"/>
      <c r="M197" s="413"/>
      <c r="N197" s="413"/>
      <c r="O197" s="413"/>
      <c r="P197" s="422"/>
      <c r="Q197" s="422"/>
      <c r="R197" s="422"/>
      <c r="S197" s="422"/>
      <c r="T197" s="422"/>
      <c r="U197" s="422"/>
    </row>
    <row r="198" spans="2:21">
      <c r="B198" s="413"/>
      <c r="C198" s="422"/>
      <c r="D198" s="422"/>
      <c r="E198" s="422"/>
      <c r="F198" s="422"/>
      <c r="G198" s="422"/>
      <c r="H198" s="422"/>
      <c r="I198" s="413"/>
      <c r="J198" s="413"/>
      <c r="K198" s="413"/>
      <c r="L198" s="413"/>
      <c r="M198" s="413"/>
      <c r="N198" s="413"/>
      <c r="O198" s="413"/>
      <c r="P198" s="422"/>
      <c r="Q198" s="422"/>
      <c r="R198" s="422"/>
      <c r="S198" s="422"/>
      <c r="T198" s="422"/>
      <c r="U198" s="422"/>
    </row>
    <row r="199" spans="2:21">
      <c r="B199" s="413"/>
      <c r="C199" s="422"/>
      <c r="D199" s="422"/>
      <c r="E199" s="422"/>
      <c r="F199" s="422"/>
      <c r="G199" s="422"/>
      <c r="H199" s="422"/>
      <c r="I199" s="413"/>
      <c r="J199" s="413"/>
      <c r="K199" s="413"/>
      <c r="L199" s="413"/>
      <c r="M199" s="413"/>
      <c r="N199" s="413"/>
      <c r="O199" s="413"/>
      <c r="P199" s="422"/>
      <c r="Q199" s="422"/>
      <c r="R199" s="422"/>
      <c r="S199" s="422"/>
      <c r="T199" s="422"/>
      <c r="U199" s="422"/>
    </row>
    <row r="200" spans="2:21">
      <c r="B200" s="413"/>
      <c r="C200" s="422"/>
      <c r="D200" s="422"/>
      <c r="E200" s="422"/>
      <c r="F200" s="422"/>
      <c r="G200" s="422"/>
      <c r="H200" s="422"/>
      <c r="I200" s="413"/>
      <c r="J200" s="413"/>
      <c r="K200" s="413"/>
      <c r="L200" s="413"/>
      <c r="M200" s="413"/>
      <c r="N200" s="413"/>
      <c r="O200" s="413"/>
      <c r="P200" s="422"/>
      <c r="Q200" s="422"/>
      <c r="R200" s="422"/>
      <c r="S200" s="422"/>
      <c r="T200" s="422"/>
      <c r="U200" s="422"/>
    </row>
    <row r="201" spans="2:21">
      <c r="B201" s="413"/>
      <c r="C201" s="422"/>
      <c r="D201" s="422"/>
      <c r="E201" s="422"/>
      <c r="F201" s="422"/>
      <c r="G201" s="422"/>
      <c r="H201" s="422"/>
      <c r="I201" s="413"/>
      <c r="J201" s="413"/>
      <c r="K201" s="413"/>
      <c r="L201" s="413"/>
      <c r="M201" s="413"/>
      <c r="N201" s="413"/>
      <c r="O201" s="413"/>
      <c r="P201" s="422"/>
      <c r="Q201" s="422"/>
      <c r="R201" s="422"/>
      <c r="S201" s="422"/>
      <c r="T201" s="422"/>
      <c r="U201" s="422"/>
    </row>
    <row r="202" spans="2:21">
      <c r="B202" s="413"/>
      <c r="C202" s="422"/>
      <c r="D202" s="422"/>
      <c r="E202" s="422"/>
      <c r="F202" s="422"/>
      <c r="G202" s="422"/>
      <c r="H202" s="422"/>
      <c r="I202" s="413"/>
      <c r="J202" s="413"/>
      <c r="K202" s="413"/>
      <c r="L202" s="413"/>
      <c r="M202" s="413"/>
      <c r="N202" s="413"/>
      <c r="O202" s="413"/>
      <c r="P202" s="422"/>
      <c r="Q202" s="422"/>
      <c r="R202" s="422"/>
      <c r="S202" s="422"/>
      <c r="T202" s="422"/>
      <c r="U202" s="422"/>
    </row>
    <row r="203" spans="2:21">
      <c r="B203" s="413"/>
      <c r="C203" s="422"/>
      <c r="D203" s="422"/>
      <c r="E203" s="422"/>
      <c r="F203" s="422"/>
      <c r="G203" s="422"/>
      <c r="H203" s="422"/>
      <c r="I203" s="413"/>
      <c r="J203" s="413"/>
      <c r="K203" s="413"/>
      <c r="L203" s="413"/>
      <c r="M203" s="413"/>
      <c r="N203" s="413"/>
      <c r="O203" s="413"/>
      <c r="P203" s="422"/>
      <c r="Q203" s="422"/>
      <c r="R203" s="422"/>
      <c r="S203" s="422"/>
      <c r="T203" s="422"/>
      <c r="U203" s="422"/>
    </row>
    <row r="204" spans="2:21">
      <c r="B204" s="413"/>
      <c r="C204" s="422"/>
      <c r="D204" s="422"/>
      <c r="E204" s="422"/>
      <c r="F204" s="422"/>
      <c r="G204" s="422"/>
      <c r="H204" s="422"/>
      <c r="I204" s="413"/>
      <c r="J204" s="413"/>
      <c r="K204" s="413"/>
      <c r="L204" s="413"/>
      <c r="M204" s="413"/>
      <c r="N204" s="413"/>
      <c r="O204" s="413"/>
      <c r="P204" s="422"/>
      <c r="Q204" s="422"/>
      <c r="R204" s="422"/>
      <c r="S204" s="422"/>
      <c r="T204" s="422"/>
      <c r="U204" s="422"/>
    </row>
    <row r="205" spans="2:21">
      <c r="B205" s="413"/>
      <c r="C205" s="422"/>
      <c r="D205" s="422"/>
      <c r="E205" s="422"/>
      <c r="F205" s="422"/>
      <c r="G205" s="422"/>
      <c r="H205" s="422"/>
      <c r="I205" s="413"/>
      <c r="J205" s="413"/>
      <c r="K205" s="413"/>
      <c r="L205" s="413"/>
      <c r="M205" s="413"/>
      <c r="N205" s="413"/>
      <c r="O205" s="413"/>
      <c r="P205" s="422"/>
      <c r="Q205" s="422"/>
      <c r="R205" s="422"/>
      <c r="S205" s="422"/>
      <c r="T205" s="422"/>
      <c r="U205" s="422"/>
    </row>
    <row r="206" spans="2:21">
      <c r="B206" s="413"/>
      <c r="C206" s="422"/>
      <c r="D206" s="422"/>
      <c r="E206" s="422"/>
      <c r="F206" s="422"/>
      <c r="G206" s="422"/>
      <c r="H206" s="422"/>
      <c r="I206" s="413"/>
      <c r="J206" s="413"/>
      <c r="K206" s="413"/>
      <c r="L206" s="413"/>
      <c r="M206" s="413"/>
      <c r="N206" s="413"/>
      <c r="O206" s="413"/>
      <c r="P206" s="422"/>
      <c r="Q206" s="422"/>
      <c r="R206" s="422"/>
      <c r="S206" s="422"/>
      <c r="T206" s="422"/>
      <c r="U206" s="422"/>
    </row>
    <row r="207" spans="2:21">
      <c r="B207" s="413"/>
      <c r="C207" s="422"/>
      <c r="D207" s="422"/>
      <c r="E207" s="422"/>
      <c r="F207" s="422"/>
      <c r="G207" s="422"/>
      <c r="H207" s="422"/>
      <c r="I207" s="413"/>
      <c r="J207" s="413"/>
      <c r="K207" s="413"/>
      <c r="L207" s="413"/>
      <c r="M207" s="413"/>
      <c r="N207" s="413"/>
      <c r="O207" s="413"/>
      <c r="P207" s="422"/>
      <c r="Q207" s="422"/>
      <c r="R207" s="422"/>
      <c r="S207" s="422"/>
      <c r="T207" s="422"/>
      <c r="U207" s="422"/>
    </row>
    <row r="208" spans="2:21">
      <c r="B208" s="413"/>
      <c r="C208" s="422"/>
      <c r="D208" s="422"/>
      <c r="E208" s="422"/>
      <c r="F208" s="422"/>
      <c r="G208" s="422"/>
      <c r="H208" s="422"/>
      <c r="I208" s="413"/>
      <c r="J208" s="413"/>
      <c r="K208" s="413"/>
      <c r="L208" s="413"/>
      <c r="M208" s="413"/>
      <c r="N208" s="413"/>
      <c r="O208" s="413"/>
      <c r="P208" s="422"/>
      <c r="Q208" s="422"/>
      <c r="R208" s="422"/>
      <c r="S208" s="422"/>
      <c r="T208" s="422"/>
      <c r="U208" s="422"/>
    </row>
    <row r="209" spans="2:21">
      <c r="B209" s="413"/>
      <c r="C209" s="422"/>
      <c r="D209" s="422"/>
      <c r="E209" s="422"/>
      <c r="F209" s="422"/>
      <c r="G209" s="422"/>
      <c r="H209" s="422"/>
      <c r="I209" s="413"/>
      <c r="J209" s="413"/>
      <c r="K209" s="413"/>
      <c r="L209" s="413"/>
      <c r="M209" s="413"/>
      <c r="N209" s="413"/>
      <c r="O209" s="413"/>
      <c r="P209" s="422"/>
      <c r="Q209" s="422"/>
      <c r="R209" s="422"/>
      <c r="S209" s="422"/>
      <c r="T209" s="422"/>
      <c r="U209" s="422"/>
    </row>
    <row r="210" spans="2:21">
      <c r="B210" s="413"/>
      <c r="C210" s="422"/>
      <c r="D210" s="422"/>
      <c r="E210" s="422"/>
      <c r="F210" s="422"/>
      <c r="G210" s="422"/>
      <c r="H210" s="422"/>
      <c r="I210" s="413"/>
      <c r="J210" s="413"/>
      <c r="K210" s="413"/>
      <c r="L210" s="413"/>
      <c r="M210" s="413"/>
      <c r="N210" s="413"/>
      <c r="O210" s="413"/>
      <c r="P210" s="422"/>
      <c r="Q210" s="422"/>
      <c r="R210" s="422"/>
      <c r="S210" s="422"/>
      <c r="T210" s="422"/>
      <c r="U210" s="422"/>
    </row>
    <row r="211" spans="2:21">
      <c r="B211" s="413"/>
      <c r="C211" s="422"/>
      <c r="D211" s="422"/>
      <c r="E211" s="422"/>
      <c r="F211" s="422"/>
      <c r="G211" s="422"/>
      <c r="H211" s="422"/>
      <c r="I211" s="413"/>
      <c r="J211" s="413"/>
      <c r="K211" s="413"/>
      <c r="L211" s="413"/>
      <c r="M211" s="413"/>
      <c r="N211" s="413"/>
      <c r="O211" s="413"/>
      <c r="P211" s="422"/>
      <c r="Q211" s="422"/>
      <c r="R211" s="422"/>
      <c r="S211" s="422"/>
      <c r="T211" s="422"/>
      <c r="U211" s="422"/>
    </row>
    <row r="212" spans="2:21">
      <c r="B212" s="413"/>
      <c r="C212" s="422"/>
      <c r="D212" s="422"/>
      <c r="E212" s="422"/>
      <c r="F212" s="422"/>
      <c r="G212" s="422"/>
      <c r="H212" s="422"/>
      <c r="I212" s="413"/>
      <c r="J212" s="413"/>
      <c r="K212" s="413"/>
      <c r="L212" s="413"/>
      <c r="M212" s="413"/>
      <c r="N212" s="413"/>
      <c r="O212" s="413"/>
      <c r="P212" s="422"/>
      <c r="Q212" s="422"/>
      <c r="R212" s="422"/>
      <c r="S212" s="422"/>
      <c r="T212" s="422"/>
      <c r="U212" s="422"/>
    </row>
    <row r="213" spans="2:21">
      <c r="B213" s="413"/>
      <c r="C213" s="422"/>
      <c r="D213" s="422"/>
      <c r="E213" s="422"/>
      <c r="F213" s="422"/>
      <c r="G213" s="422"/>
      <c r="H213" s="422"/>
      <c r="I213" s="413"/>
      <c r="J213" s="413"/>
      <c r="K213" s="413"/>
      <c r="L213" s="413"/>
      <c r="M213" s="413"/>
      <c r="N213" s="413"/>
      <c r="O213" s="413"/>
      <c r="P213" s="422"/>
      <c r="Q213" s="422"/>
      <c r="R213" s="422"/>
      <c r="S213" s="422"/>
      <c r="T213" s="422"/>
      <c r="U213" s="422"/>
    </row>
    <row r="214" spans="2:21">
      <c r="B214" s="413"/>
      <c r="C214" s="422"/>
      <c r="D214" s="422"/>
      <c r="E214" s="422"/>
      <c r="F214" s="422"/>
      <c r="G214" s="422"/>
      <c r="H214" s="422"/>
      <c r="I214" s="413"/>
      <c r="J214" s="413"/>
      <c r="K214" s="413"/>
      <c r="L214" s="413"/>
      <c r="M214" s="413"/>
      <c r="N214" s="413"/>
      <c r="O214" s="413"/>
      <c r="P214" s="422"/>
      <c r="Q214" s="422"/>
      <c r="R214" s="422"/>
      <c r="S214" s="422"/>
      <c r="T214" s="422"/>
      <c r="U214" s="422"/>
    </row>
    <row r="215" spans="2:21">
      <c r="B215" s="413"/>
      <c r="C215" s="422"/>
      <c r="D215" s="422"/>
      <c r="E215" s="422"/>
      <c r="F215" s="422"/>
      <c r="G215" s="422"/>
      <c r="H215" s="422"/>
      <c r="I215" s="413"/>
      <c r="J215" s="413"/>
      <c r="K215" s="413"/>
      <c r="L215" s="413"/>
      <c r="M215" s="413"/>
      <c r="N215" s="413"/>
      <c r="O215" s="413"/>
      <c r="P215" s="422"/>
      <c r="Q215" s="422"/>
      <c r="R215" s="422"/>
      <c r="S215" s="422"/>
      <c r="T215" s="422"/>
      <c r="U215" s="422"/>
    </row>
    <row r="216" spans="2:21">
      <c r="B216" s="413"/>
      <c r="C216" s="422"/>
      <c r="D216" s="422"/>
      <c r="E216" s="422"/>
      <c r="F216" s="422"/>
      <c r="G216" s="422"/>
      <c r="H216" s="422"/>
      <c r="I216" s="413"/>
      <c r="J216" s="413"/>
      <c r="K216" s="413"/>
      <c r="L216" s="413"/>
      <c r="M216" s="413"/>
      <c r="N216" s="413"/>
      <c r="O216" s="413"/>
      <c r="P216" s="422"/>
      <c r="Q216" s="422"/>
      <c r="R216" s="422"/>
      <c r="S216" s="422"/>
      <c r="T216" s="422"/>
      <c r="U216" s="422"/>
    </row>
    <row r="217" spans="2:21">
      <c r="B217" s="413"/>
      <c r="C217" s="422"/>
      <c r="D217" s="422"/>
      <c r="E217" s="422"/>
      <c r="F217" s="422"/>
      <c r="G217" s="422"/>
      <c r="H217" s="422"/>
      <c r="I217" s="413"/>
      <c r="J217" s="413"/>
      <c r="K217" s="413"/>
      <c r="L217" s="413"/>
      <c r="M217" s="413"/>
      <c r="N217" s="413"/>
      <c r="O217" s="413"/>
      <c r="P217" s="422"/>
      <c r="Q217" s="422"/>
      <c r="R217" s="422"/>
      <c r="S217" s="422"/>
      <c r="T217" s="422"/>
      <c r="U217" s="422"/>
    </row>
    <row r="218" spans="2:21">
      <c r="B218" s="413"/>
      <c r="C218" s="422"/>
      <c r="D218" s="422"/>
      <c r="E218" s="422"/>
      <c r="F218" s="422"/>
      <c r="G218" s="422"/>
      <c r="H218" s="422"/>
      <c r="I218" s="413"/>
      <c r="J218" s="413"/>
      <c r="K218" s="413"/>
      <c r="L218" s="413"/>
      <c r="M218" s="413"/>
      <c r="N218" s="413"/>
      <c r="O218" s="413"/>
      <c r="P218" s="422"/>
      <c r="Q218" s="422"/>
      <c r="R218" s="422"/>
      <c r="S218" s="422"/>
      <c r="T218" s="422"/>
      <c r="U218" s="422"/>
    </row>
    <row r="219" spans="2:21">
      <c r="B219" s="413"/>
      <c r="C219" s="422"/>
      <c r="D219" s="422"/>
      <c r="E219" s="422"/>
      <c r="F219" s="422"/>
      <c r="G219" s="422"/>
      <c r="H219" s="422"/>
      <c r="I219" s="413"/>
      <c r="J219" s="413"/>
      <c r="K219" s="413"/>
      <c r="L219" s="413"/>
      <c r="M219" s="413"/>
      <c r="N219" s="413"/>
      <c r="O219" s="413"/>
      <c r="P219" s="422"/>
      <c r="Q219" s="422"/>
      <c r="R219" s="422"/>
      <c r="S219" s="422"/>
      <c r="T219" s="422"/>
      <c r="U219" s="422"/>
    </row>
    <row r="220" spans="2:21">
      <c r="B220" s="413"/>
      <c r="C220" s="422"/>
      <c r="D220" s="422"/>
      <c r="E220" s="422"/>
      <c r="F220" s="422"/>
      <c r="G220" s="422"/>
      <c r="H220" s="422"/>
      <c r="I220" s="413"/>
      <c r="J220" s="413"/>
      <c r="K220" s="413"/>
      <c r="L220" s="413"/>
      <c r="M220" s="413"/>
      <c r="N220" s="413"/>
      <c r="O220" s="413"/>
      <c r="P220" s="422"/>
      <c r="Q220" s="422"/>
      <c r="R220" s="422"/>
      <c r="S220" s="422"/>
      <c r="T220" s="422"/>
      <c r="U220" s="422"/>
    </row>
    <row r="221" spans="2:21">
      <c r="B221" s="413"/>
      <c r="C221" s="422"/>
      <c r="D221" s="422"/>
      <c r="E221" s="422"/>
      <c r="F221" s="422"/>
      <c r="G221" s="422"/>
      <c r="H221" s="422"/>
      <c r="I221" s="413"/>
      <c r="J221" s="413"/>
      <c r="K221" s="413"/>
      <c r="L221" s="413"/>
      <c r="M221" s="413"/>
      <c r="N221" s="413"/>
      <c r="O221" s="413"/>
      <c r="P221" s="422"/>
      <c r="Q221" s="422"/>
      <c r="R221" s="422"/>
      <c r="S221" s="422"/>
      <c r="T221" s="422"/>
      <c r="U221" s="422"/>
    </row>
    <row r="222" spans="2:21">
      <c r="B222" s="413"/>
      <c r="C222" s="422"/>
      <c r="D222" s="422"/>
      <c r="E222" s="422"/>
      <c r="F222" s="422"/>
      <c r="G222" s="422"/>
      <c r="H222" s="422"/>
      <c r="I222" s="413"/>
      <c r="J222" s="413"/>
      <c r="K222" s="413"/>
      <c r="L222" s="413"/>
      <c r="M222" s="413"/>
      <c r="N222" s="413"/>
      <c r="O222" s="413"/>
      <c r="P222" s="422"/>
      <c r="Q222" s="422"/>
      <c r="R222" s="422"/>
      <c r="S222" s="422"/>
      <c r="T222" s="422"/>
      <c r="U222" s="422"/>
    </row>
    <row r="223" spans="2:21">
      <c r="B223" s="413"/>
      <c r="C223" s="422"/>
      <c r="D223" s="422"/>
      <c r="E223" s="422"/>
      <c r="F223" s="422"/>
      <c r="G223" s="422"/>
      <c r="H223" s="422"/>
      <c r="I223" s="413"/>
      <c r="J223" s="413"/>
      <c r="K223" s="413"/>
      <c r="L223" s="413"/>
      <c r="M223" s="413"/>
      <c r="N223" s="413"/>
      <c r="O223" s="413"/>
      <c r="P223" s="422"/>
      <c r="Q223" s="422"/>
      <c r="R223" s="422"/>
      <c r="S223" s="422"/>
      <c r="T223" s="422"/>
      <c r="U223" s="422"/>
    </row>
    <row r="224" spans="2:21">
      <c r="B224" s="413"/>
      <c r="C224" s="422"/>
      <c r="D224" s="422"/>
      <c r="E224" s="422"/>
      <c r="F224" s="422"/>
      <c r="G224" s="422"/>
      <c r="H224" s="422"/>
      <c r="I224" s="413"/>
      <c r="J224" s="413"/>
      <c r="K224" s="413"/>
      <c r="L224" s="413"/>
      <c r="M224" s="413"/>
      <c r="N224" s="413"/>
      <c r="O224" s="413"/>
      <c r="P224" s="422"/>
      <c r="Q224" s="422"/>
      <c r="R224" s="422"/>
      <c r="S224" s="422"/>
      <c r="T224" s="422"/>
      <c r="U224" s="422"/>
    </row>
    <row r="225" spans="2:21">
      <c r="B225" s="413"/>
      <c r="C225" s="422"/>
      <c r="D225" s="422"/>
      <c r="E225" s="422"/>
      <c r="F225" s="422"/>
      <c r="G225" s="422"/>
      <c r="H225" s="422"/>
      <c r="I225" s="413"/>
      <c r="J225" s="413"/>
      <c r="K225" s="413"/>
      <c r="L225" s="413"/>
      <c r="M225" s="413"/>
      <c r="N225" s="413"/>
      <c r="O225" s="413"/>
      <c r="P225" s="422"/>
      <c r="Q225" s="422"/>
      <c r="R225" s="422"/>
      <c r="S225" s="422"/>
      <c r="T225" s="422"/>
      <c r="U225" s="422"/>
    </row>
    <row r="226" spans="2:21">
      <c r="B226" s="413"/>
      <c r="C226" s="422"/>
      <c r="D226" s="422"/>
      <c r="E226" s="422"/>
      <c r="F226" s="422"/>
      <c r="G226" s="422"/>
      <c r="H226" s="422"/>
      <c r="I226" s="413"/>
      <c r="J226" s="413"/>
      <c r="K226" s="413"/>
      <c r="L226" s="413"/>
      <c r="M226" s="413"/>
      <c r="N226" s="413"/>
      <c r="O226" s="413"/>
      <c r="P226" s="422"/>
      <c r="Q226" s="422"/>
      <c r="R226" s="422"/>
      <c r="S226" s="422"/>
      <c r="T226" s="422"/>
      <c r="U226" s="422"/>
    </row>
    <row r="227" spans="2:21">
      <c r="B227" s="413"/>
      <c r="C227" s="422"/>
      <c r="D227" s="422"/>
      <c r="E227" s="422"/>
      <c r="F227" s="422"/>
      <c r="G227" s="422"/>
      <c r="H227" s="422"/>
      <c r="I227" s="413"/>
      <c r="J227" s="413"/>
      <c r="K227" s="413"/>
      <c r="L227" s="413"/>
      <c r="M227" s="413"/>
      <c r="N227" s="413"/>
      <c r="O227" s="413"/>
      <c r="P227" s="422"/>
      <c r="Q227" s="422"/>
      <c r="R227" s="422"/>
      <c r="S227" s="422"/>
      <c r="T227" s="422"/>
      <c r="U227" s="422"/>
    </row>
    <row r="228" spans="2:21">
      <c r="B228" s="413"/>
      <c r="C228" s="422"/>
      <c r="D228" s="422"/>
      <c r="E228" s="422"/>
      <c r="F228" s="422"/>
      <c r="G228" s="422"/>
      <c r="H228" s="422"/>
      <c r="I228" s="413"/>
      <c r="J228" s="413"/>
      <c r="K228" s="413"/>
      <c r="L228" s="413"/>
      <c r="M228" s="413"/>
      <c r="N228" s="413"/>
      <c r="O228" s="413"/>
      <c r="P228" s="422"/>
      <c r="Q228" s="422"/>
      <c r="R228" s="422"/>
      <c r="S228" s="422"/>
      <c r="T228" s="422"/>
      <c r="U228" s="422"/>
    </row>
    <row r="229" spans="2:21">
      <c r="B229" s="413"/>
      <c r="C229" s="422"/>
      <c r="D229" s="422"/>
      <c r="E229" s="422"/>
      <c r="F229" s="422"/>
      <c r="G229" s="422"/>
      <c r="H229" s="422"/>
      <c r="I229" s="413"/>
      <c r="J229" s="413"/>
      <c r="K229" s="413"/>
      <c r="L229" s="413"/>
      <c r="M229" s="413"/>
      <c r="N229" s="413"/>
      <c r="O229" s="413"/>
      <c r="P229" s="422"/>
      <c r="Q229" s="422"/>
      <c r="R229" s="422"/>
      <c r="S229" s="422"/>
      <c r="T229" s="422"/>
      <c r="U229" s="422"/>
    </row>
    <row r="230" spans="2:21">
      <c r="B230" s="413"/>
      <c r="C230" s="422"/>
      <c r="D230" s="422"/>
      <c r="E230" s="422"/>
      <c r="F230" s="422"/>
      <c r="G230" s="422"/>
      <c r="H230" s="422"/>
      <c r="I230" s="413"/>
      <c r="J230" s="413"/>
      <c r="K230" s="413"/>
      <c r="L230" s="413"/>
      <c r="M230" s="413"/>
      <c r="N230" s="413"/>
      <c r="O230" s="413"/>
      <c r="P230" s="422"/>
      <c r="Q230" s="422"/>
      <c r="R230" s="422"/>
      <c r="S230" s="422"/>
      <c r="T230" s="422"/>
      <c r="U230" s="422"/>
    </row>
    <row r="231" spans="2:21">
      <c r="B231" s="413"/>
      <c r="C231" s="422"/>
      <c r="D231" s="422"/>
      <c r="E231" s="422"/>
      <c r="F231" s="422"/>
      <c r="G231" s="422"/>
      <c r="H231" s="422"/>
      <c r="I231" s="413"/>
      <c r="J231" s="413"/>
      <c r="K231" s="413"/>
      <c r="L231" s="413"/>
      <c r="M231" s="413"/>
      <c r="N231" s="413"/>
      <c r="O231" s="413"/>
      <c r="P231" s="422"/>
      <c r="Q231" s="422"/>
      <c r="R231" s="422"/>
      <c r="S231" s="422"/>
      <c r="T231" s="422"/>
      <c r="U231" s="422"/>
    </row>
    <row r="232" spans="2:21">
      <c r="B232" s="413"/>
      <c r="C232" s="422"/>
      <c r="D232" s="422"/>
      <c r="E232" s="422"/>
      <c r="F232" s="422"/>
      <c r="G232" s="422"/>
      <c r="H232" s="422"/>
      <c r="I232" s="413"/>
      <c r="J232" s="413"/>
      <c r="K232" s="413"/>
      <c r="L232" s="413"/>
      <c r="M232" s="413"/>
      <c r="N232" s="413"/>
      <c r="O232" s="413"/>
      <c r="P232" s="422"/>
      <c r="Q232" s="422"/>
      <c r="R232" s="422"/>
      <c r="S232" s="422"/>
      <c r="T232" s="422"/>
      <c r="U232" s="422"/>
    </row>
    <row r="233" spans="2:21">
      <c r="B233" s="413"/>
      <c r="C233" s="422"/>
      <c r="D233" s="422"/>
      <c r="E233" s="422"/>
      <c r="F233" s="422"/>
      <c r="G233" s="422"/>
      <c r="H233" s="422"/>
      <c r="I233" s="413"/>
      <c r="J233" s="413"/>
      <c r="K233" s="413"/>
      <c r="L233" s="413"/>
      <c r="M233" s="413"/>
      <c r="N233" s="413"/>
      <c r="O233" s="413"/>
      <c r="P233" s="422"/>
      <c r="Q233" s="422"/>
      <c r="R233" s="422"/>
      <c r="S233" s="422"/>
      <c r="T233" s="422"/>
      <c r="U233" s="422"/>
    </row>
    <row r="234" spans="2:21">
      <c r="B234" s="413"/>
      <c r="C234" s="422"/>
      <c r="D234" s="422"/>
      <c r="E234" s="422"/>
      <c r="F234" s="422"/>
      <c r="G234" s="422"/>
      <c r="H234" s="422"/>
      <c r="I234" s="413"/>
      <c r="J234" s="413"/>
      <c r="K234" s="413"/>
      <c r="L234" s="413"/>
      <c r="M234" s="413"/>
      <c r="N234" s="413"/>
      <c r="O234" s="413"/>
      <c r="P234" s="422"/>
      <c r="Q234" s="422"/>
      <c r="R234" s="422"/>
      <c r="S234" s="422"/>
      <c r="T234" s="422"/>
      <c r="U234" s="422"/>
    </row>
    <row r="235" spans="2:21">
      <c r="B235" s="413"/>
      <c r="C235" s="422"/>
      <c r="D235" s="422"/>
      <c r="E235" s="422"/>
      <c r="F235" s="422"/>
      <c r="G235" s="422"/>
      <c r="H235" s="422"/>
      <c r="I235" s="413"/>
      <c r="J235" s="413"/>
      <c r="K235" s="413"/>
      <c r="L235" s="413"/>
      <c r="M235" s="413"/>
      <c r="N235" s="413"/>
      <c r="O235" s="413"/>
      <c r="P235" s="422"/>
      <c r="Q235" s="422"/>
      <c r="R235" s="422"/>
      <c r="S235" s="422"/>
      <c r="T235" s="422"/>
      <c r="U235" s="422"/>
    </row>
    <row r="236" spans="2:21">
      <c r="B236" s="413"/>
      <c r="C236" s="422"/>
      <c r="D236" s="422"/>
      <c r="E236" s="422"/>
      <c r="F236" s="422"/>
      <c r="G236" s="422"/>
      <c r="H236" s="422"/>
      <c r="I236" s="413"/>
      <c r="J236" s="413"/>
      <c r="K236" s="413"/>
      <c r="L236" s="413"/>
      <c r="M236" s="413"/>
      <c r="N236" s="413"/>
      <c r="O236" s="413"/>
      <c r="P236" s="422"/>
      <c r="Q236" s="422"/>
      <c r="R236" s="422"/>
      <c r="S236" s="422"/>
      <c r="T236" s="422"/>
      <c r="U236" s="422"/>
    </row>
    <row r="237" spans="2:21">
      <c r="B237" s="413"/>
      <c r="C237" s="422"/>
      <c r="D237" s="422"/>
      <c r="E237" s="422"/>
      <c r="F237" s="422"/>
      <c r="G237" s="422"/>
      <c r="H237" s="422"/>
      <c r="I237" s="413"/>
      <c r="J237" s="413"/>
      <c r="K237" s="413"/>
      <c r="L237" s="413"/>
      <c r="M237" s="413"/>
      <c r="N237" s="413"/>
      <c r="O237" s="413"/>
      <c r="P237" s="422"/>
      <c r="Q237" s="422"/>
      <c r="R237" s="422"/>
      <c r="S237" s="422"/>
      <c r="T237" s="422"/>
      <c r="U237" s="422"/>
    </row>
    <row r="238" spans="2:21">
      <c r="B238" s="413"/>
      <c r="C238" s="422"/>
      <c r="D238" s="422"/>
      <c r="E238" s="422"/>
      <c r="F238" s="422"/>
      <c r="G238" s="422"/>
      <c r="H238" s="422"/>
      <c r="I238" s="413"/>
      <c r="J238" s="413"/>
      <c r="K238" s="413"/>
      <c r="L238" s="413"/>
      <c r="M238" s="413"/>
      <c r="N238" s="413"/>
      <c r="O238" s="413"/>
      <c r="P238" s="422"/>
      <c r="Q238" s="422"/>
      <c r="R238" s="422"/>
      <c r="S238" s="422"/>
      <c r="T238" s="422"/>
      <c r="U238" s="422"/>
    </row>
    <row r="239" spans="2:21">
      <c r="B239" s="413"/>
      <c r="C239" s="422"/>
      <c r="D239" s="422"/>
      <c r="E239" s="422"/>
      <c r="F239" s="422"/>
      <c r="G239" s="422"/>
      <c r="H239" s="422"/>
      <c r="I239" s="413"/>
      <c r="J239" s="413"/>
      <c r="K239" s="413"/>
      <c r="L239" s="413"/>
      <c r="M239" s="413"/>
      <c r="N239" s="413"/>
      <c r="O239" s="413"/>
      <c r="P239" s="422"/>
      <c r="Q239" s="422"/>
      <c r="R239" s="422"/>
      <c r="S239" s="422"/>
      <c r="T239" s="422"/>
      <c r="U239" s="422"/>
    </row>
    <row r="240" spans="2:21">
      <c r="B240" s="413"/>
      <c r="C240" s="422"/>
      <c r="D240" s="422"/>
      <c r="E240" s="422"/>
      <c r="F240" s="422"/>
      <c r="G240" s="422"/>
      <c r="H240" s="422"/>
      <c r="I240" s="413"/>
      <c r="J240" s="413"/>
      <c r="K240" s="413"/>
      <c r="L240" s="413"/>
      <c r="M240" s="413"/>
      <c r="N240" s="413"/>
      <c r="O240" s="413"/>
      <c r="P240" s="422"/>
      <c r="Q240" s="422"/>
      <c r="R240" s="422"/>
      <c r="S240" s="422"/>
      <c r="T240" s="422"/>
      <c r="U240" s="422"/>
    </row>
    <row r="241" spans="2:21">
      <c r="B241" s="413"/>
      <c r="C241" s="422"/>
      <c r="D241" s="422"/>
      <c r="E241" s="422"/>
      <c r="F241" s="422"/>
      <c r="G241" s="422"/>
      <c r="H241" s="422"/>
      <c r="I241" s="413"/>
      <c r="J241" s="413"/>
      <c r="K241" s="413"/>
      <c r="L241" s="413"/>
      <c r="M241" s="413"/>
      <c r="N241" s="413"/>
      <c r="O241" s="413"/>
      <c r="P241" s="422"/>
      <c r="Q241" s="422"/>
      <c r="R241" s="422"/>
      <c r="S241" s="422"/>
      <c r="T241" s="422"/>
      <c r="U241" s="422"/>
    </row>
    <row r="242" spans="2:21">
      <c r="B242" s="413"/>
      <c r="C242" s="422"/>
      <c r="D242" s="422"/>
      <c r="E242" s="422"/>
      <c r="F242" s="422"/>
      <c r="G242" s="422"/>
      <c r="H242" s="422"/>
      <c r="I242" s="413"/>
      <c r="J242" s="413"/>
      <c r="K242" s="413"/>
      <c r="L242" s="413"/>
      <c r="M242" s="413"/>
      <c r="N242" s="413"/>
      <c r="O242" s="413"/>
      <c r="P242" s="422"/>
      <c r="Q242" s="422"/>
      <c r="R242" s="422"/>
      <c r="S242" s="422"/>
      <c r="T242" s="422"/>
      <c r="U242" s="422"/>
    </row>
    <row r="243" spans="2:21">
      <c r="B243" s="413"/>
      <c r="C243" s="422"/>
      <c r="D243" s="422"/>
      <c r="E243" s="422"/>
      <c r="F243" s="422"/>
      <c r="G243" s="422"/>
      <c r="H243" s="422"/>
      <c r="I243" s="413"/>
      <c r="J243" s="413"/>
      <c r="K243" s="413"/>
      <c r="L243" s="413"/>
      <c r="M243" s="413"/>
      <c r="N243" s="413"/>
      <c r="O243" s="413"/>
      <c r="P243" s="422"/>
      <c r="Q243" s="422"/>
      <c r="R243" s="422"/>
      <c r="S243" s="422"/>
      <c r="T243" s="422"/>
      <c r="U243" s="422"/>
    </row>
    <row r="244" spans="2:21">
      <c r="B244" s="413"/>
      <c r="C244" s="422"/>
      <c r="D244" s="422"/>
      <c r="E244" s="422"/>
      <c r="F244" s="422"/>
      <c r="G244" s="422"/>
      <c r="H244" s="422"/>
      <c r="I244" s="413"/>
      <c r="J244" s="413"/>
      <c r="K244" s="413"/>
      <c r="L244" s="413"/>
      <c r="M244" s="413"/>
      <c r="N244" s="413"/>
      <c r="O244" s="413"/>
      <c r="P244" s="422"/>
      <c r="Q244" s="422"/>
      <c r="R244" s="422"/>
      <c r="S244" s="422"/>
      <c r="T244" s="422"/>
      <c r="U244" s="422"/>
    </row>
    <row r="245" spans="2:21">
      <c r="B245" s="413"/>
      <c r="C245" s="422"/>
      <c r="D245" s="422"/>
      <c r="E245" s="422"/>
      <c r="F245" s="422"/>
      <c r="G245" s="422"/>
      <c r="H245" s="422"/>
      <c r="I245" s="413"/>
      <c r="J245" s="413"/>
      <c r="K245" s="413"/>
      <c r="L245" s="413"/>
      <c r="M245" s="413"/>
      <c r="N245" s="413"/>
      <c r="O245" s="413"/>
      <c r="P245" s="422"/>
      <c r="Q245" s="422"/>
      <c r="R245" s="422"/>
      <c r="S245" s="422"/>
      <c r="T245" s="422"/>
      <c r="U245" s="422"/>
    </row>
    <row r="246" spans="2:21">
      <c r="B246" s="413"/>
      <c r="C246" s="422"/>
      <c r="D246" s="422"/>
      <c r="E246" s="422"/>
      <c r="F246" s="422"/>
      <c r="G246" s="422"/>
      <c r="H246" s="422"/>
      <c r="I246" s="413"/>
      <c r="J246" s="413"/>
      <c r="K246" s="413"/>
      <c r="L246" s="413"/>
      <c r="M246" s="413"/>
      <c r="N246" s="413"/>
      <c r="O246" s="413"/>
      <c r="P246" s="422"/>
      <c r="Q246" s="422"/>
      <c r="R246" s="422"/>
      <c r="S246" s="422"/>
      <c r="T246" s="422"/>
      <c r="U246" s="422"/>
    </row>
    <row r="247" spans="2:21">
      <c r="B247" s="413"/>
      <c r="C247" s="422"/>
      <c r="D247" s="422"/>
      <c r="E247" s="422"/>
      <c r="F247" s="422"/>
      <c r="G247" s="422"/>
      <c r="H247" s="422"/>
      <c r="I247" s="413"/>
      <c r="J247" s="413"/>
      <c r="K247" s="413"/>
      <c r="L247" s="413"/>
      <c r="M247" s="413"/>
      <c r="N247" s="413"/>
      <c r="O247" s="413"/>
      <c r="P247" s="422"/>
      <c r="Q247" s="422"/>
      <c r="R247" s="422"/>
      <c r="S247" s="422"/>
      <c r="T247" s="422"/>
      <c r="U247" s="422"/>
    </row>
    <row r="248" spans="2:21">
      <c r="B248" s="413"/>
      <c r="C248" s="422"/>
      <c r="D248" s="422"/>
      <c r="E248" s="422"/>
      <c r="F248" s="422"/>
      <c r="G248" s="422"/>
      <c r="H248" s="422"/>
      <c r="I248" s="413"/>
      <c r="J248" s="413"/>
      <c r="K248" s="413"/>
      <c r="L248" s="413"/>
      <c r="M248" s="413"/>
      <c r="N248" s="413"/>
      <c r="O248" s="413"/>
      <c r="P248" s="422"/>
      <c r="Q248" s="422"/>
      <c r="R248" s="422"/>
      <c r="S248" s="422"/>
      <c r="T248" s="422"/>
      <c r="U248" s="422"/>
    </row>
    <row r="249" spans="2:21">
      <c r="B249" s="413"/>
      <c r="C249" s="422"/>
      <c r="D249" s="422"/>
      <c r="E249" s="422"/>
      <c r="F249" s="422"/>
      <c r="G249" s="422"/>
      <c r="H249" s="422"/>
      <c r="I249" s="413"/>
      <c r="J249" s="413"/>
      <c r="K249" s="413"/>
      <c r="L249" s="413"/>
      <c r="M249" s="413"/>
      <c r="N249" s="413"/>
      <c r="O249" s="413"/>
      <c r="P249" s="422"/>
      <c r="Q249" s="422"/>
      <c r="R249" s="422"/>
      <c r="S249" s="422"/>
      <c r="T249" s="422"/>
      <c r="U249" s="422"/>
    </row>
    <row r="250" spans="2:21">
      <c r="B250" s="413"/>
      <c r="C250" s="422"/>
      <c r="D250" s="422"/>
      <c r="E250" s="422"/>
      <c r="F250" s="422"/>
      <c r="G250" s="422"/>
      <c r="H250" s="422"/>
      <c r="I250" s="413"/>
      <c r="J250" s="413"/>
      <c r="K250" s="413"/>
      <c r="L250" s="413"/>
      <c r="M250" s="413"/>
      <c r="N250" s="413"/>
      <c r="O250" s="413"/>
      <c r="P250" s="422"/>
      <c r="Q250" s="422"/>
      <c r="R250" s="422"/>
      <c r="S250" s="422"/>
      <c r="T250" s="422"/>
      <c r="U250" s="422"/>
    </row>
    <row r="251" spans="2:21">
      <c r="B251" s="413"/>
      <c r="C251" s="422"/>
      <c r="D251" s="422"/>
      <c r="E251" s="422"/>
      <c r="F251" s="422"/>
      <c r="G251" s="422"/>
      <c r="H251" s="422"/>
      <c r="I251" s="413"/>
      <c r="J251" s="413"/>
      <c r="K251" s="413"/>
      <c r="L251" s="413"/>
      <c r="M251" s="413"/>
      <c r="N251" s="413"/>
      <c r="O251" s="413"/>
      <c r="P251" s="422"/>
      <c r="Q251" s="422"/>
      <c r="R251" s="422"/>
      <c r="S251" s="422"/>
      <c r="T251" s="422"/>
      <c r="U251" s="422"/>
    </row>
    <row r="252" spans="2:21">
      <c r="B252" s="413"/>
      <c r="C252" s="422"/>
      <c r="D252" s="422"/>
      <c r="E252" s="422"/>
      <c r="F252" s="422"/>
      <c r="G252" s="422"/>
      <c r="H252" s="422"/>
      <c r="I252" s="413"/>
      <c r="J252" s="413"/>
      <c r="K252" s="413"/>
      <c r="L252" s="413"/>
      <c r="M252" s="413"/>
      <c r="N252" s="413"/>
      <c r="O252" s="413"/>
      <c r="P252" s="422"/>
      <c r="Q252" s="422"/>
      <c r="R252" s="422"/>
      <c r="S252" s="422"/>
      <c r="T252" s="422"/>
      <c r="U252" s="422"/>
    </row>
    <row r="253" spans="2:21">
      <c r="B253" s="413"/>
      <c r="C253" s="422"/>
      <c r="D253" s="422"/>
      <c r="E253" s="422"/>
      <c r="F253" s="422"/>
      <c r="G253" s="422"/>
      <c r="H253" s="422"/>
      <c r="I253" s="413"/>
      <c r="J253" s="413"/>
      <c r="K253" s="413"/>
      <c r="L253" s="413"/>
      <c r="M253" s="413"/>
      <c r="N253" s="413"/>
      <c r="O253" s="413"/>
      <c r="P253" s="422"/>
      <c r="Q253" s="422"/>
      <c r="R253" s="422"/>
      <c r="S253" s="422"/>
      <c r="T253" s="422"/>
      <c r="U253" s="422"/>
    </row>
    <row r="254" spans="2:21">
      <c r="B254" s="413"/>
      <c r="C254" s="422"/>
      <c r="D254" s="422"/>
      <c r="E254" s="422"/>
      <c r="F254" s="422"/>
      <c r="G254" s="422"/>
      <c r="H254" s="422"/>
      <c r="I254" s="413"/>
      <c r="J254" s="413"/>
      <c r="K254" s="413"/>
      <c r="L254" s="413"/>
      <c r="M254" s="413"/>
      <c r="N254" s="413"/>
      <c r="O254" s="413"/>
      <c r="P254" s="422"/>
      <c r="Q254" s="422"/>
      <c r="R254" s="422"/>
      <c r="S254" s="422"/>
      <c r="T254" s="422"/>
      <c r="U254" s="422"/>
    </row>
    <row r="255" spans="2:21">
      <c r="B255" s="413"/>
      <c r="C255" s="422"/>
      <c r="D255" s="422"/>
      <c r="E255" s="422"/>
      <c r="F255" s="422"/>
      <c r="G255" s="422"/>
      <c r="H255" s="422"/>
      <c r="I255" s="413"/>
      <c r="J255" s="413"/>
      <c r="K255" s="413"/>
      <c r="L255" s="413"/>
      <c r="M255" s="413"/>
      <c r="N255" s="413"/>
      <c r="O255" s="413"/>
      <c r="P255" s="422"/>
      <c r="Q255" s="422"/>
      <c r="R255" s="422"/>
      <c r="S255" s="422"/>
      <c r="T255" s="422"/>
      <c r="U255" s="422"/>
    </row>
    <row r="256" spans="2:21">
      <c r="B256" s="413"/>
      <c r="C256" s="422"/>
      <c r="D256" s="422"/>
      <c r="E256" s="422"/>
      <c r="F256" s="422"/>
      <c r="G256" s="422"/>
      <c r="H256" s="422"/>
      <c r="I256" s="413"/>
      <c r="J256" s="413"/>
      <c r="K256" s="413"/>
      <c r="L256" s="413"/>
      <c r="M256" s="413"/>
      <c r="N256" s="413"/>
      <c r="O256" s="413"/>
      <c r="P256" s="422"/>
      <c r="Q256" s="422"/>
      <c r="R256" s="422"/>
      <c r="S256" s="422"/>
      <c r="T256" s="422"/>
      <c r="U256" s="422"/>
    </row>
    <row r="257" spans="2:21">
      <c r="B257" s="413"/>
      <c r="C257" s="422"/>
      <c r="D257" s="422"/>
      <c r="E257" s="422"/>
      <c r="F257" s="422"/>
      <c r="G257" s="422"/>
      <c r="H257" s="422"/>
      <c r="I257" s="413"/>
      <c r="J257" s="413"/>
      <c r="K257" s="413"/>
      <c r="L257" s="413"/>
      <c r="M257" s="413"/>
      <c r="N257" s="413"/>
      <c r="O257" s="413"/>
      <c r="P257" s="422"/>
      <c r="Q257" s="422"/>
      <c r="R257" s="422"/>
      <c r="S257" s="422"/>
      <c r="T257" s="422"/>
      <c r="U257" s="422"/>
    </row>
    <row r="258" spans="2:21">
      <c r="B258" s="413"/>
      <c r="C258" s="422"/>
      <c r="D258" s="422"/>
      <c r="E258" s="422"/>
      <c r="F258" s="422"/>
      <c r="G258" s="422"/>
      <c r="H258" s="422"/>
      <c r="I258" s="413"/>
      <c r="J258" s="413"/>
      <c r="K258" s="413"/>
      <c r="L258" s="413"/>
      <c r="M258" s="413"/>
      <c r="N258" s="413"/>
      <c r="O258" s="413"/>
      <c r="P258" s="422"/>
      <c r="Q258" s="422"/>
      <c r="R258" s="422"/>
      <c r="S258" s="422"/>
      <c r="T258" s="422"/>
      <c r="U258" s="422"/>
    </row>
    <row r="259" spans="2:21">
      <c r="B259" s="413"/>
      <c r="C259" s="422"/>
      <c r="D259" s="422"/>
      <c r="E259" s="422"/>
      <c r="F259" s="422"/>
      <c r="G259" s="422"/>
      <c r="H259" s="422"/>
      <c r="I259" s="413"/>
      <c r="J259" s="413"/>
      <c r="K259" s="413"/>
      <c r="L259" s="413"/>
      <c r="M259" s="413"/>
      <c r="N259" s="413"/>
      <c r="O259" s="413"/>
      <c r="P259" s="422"/>
      <c r="Q259" s="422"/>
      <c r="R259" s="422"/>
      <c r="S259" s="422"/>
      <c r="T259" s="422"/>
      <c r="U259" s="422"/>
    </row>
    <row r="260" spans="2:21">
      <c r="B260" s="413"/>
      <c r="C260" s="422"/>
      <c r="D260" s="422"/>
      <c r="E260" s="422"/>
      <c r="F260" s="422"/>
      <c r="G260" s="422"/>
      <c r="H260" s="422"/>
      <c r="I260" s="413"/>
      <c r="J260" s="413"/>
      <c r="K260" s="413"/>
      <c r="L260" s="413"/>
      <c r="M260" s="413"/>
      <c r="N260" s="413"/>
      <c r="O260" s="413"/>
      <c r="P260" s="422"/>
      <c r="Q260" s="422"/>
      <c r="R260" s="422"/>
      <c r="S260" s="422"/>
      <c r="T260" s="422"/>
      <c r="U260" s="422"/>
    </row>
    <row r="261" spans="2:21">
      <c r="B261" s="413"/>
      <c r="C261" s="422"/>
      <c r="D261" s="422"/>
      <c r="E261" s="422"/>
      <c r="F261" s="422"/>
      <c r="G261" s="422"/>
      <c r="H261" s="422"/>
      <c r="I261" s="413"/>
      <c r="J261" s="413"/>
      <c r="K261" s="413"/>
      <c r="L261" s="413"/>
      <c r="M261" s="413"/>
      <c r="N261" s="413"/>
      <c r="O261" s="413"/>
      <c r="P261" s="422"/>
      <c r="Q261" s="422"/>
      <c r="R261" s="422"/>
      <c r="S261" s="422"/>
      <c r="T261" s="422"/>
      <c r="U261" s="422"/>
    </row>
    <row r="262" spans="2:21">
      <c r="B262" s="413"/>
      <c r="C262" s="422"/>
      <c r="D262" s="422"/>
      <c r="E262" s="422"/>
      <c r="F262" s="422"/>
      <c r="G262" s="422"/>
      <c r="H262" s="422"/>
      <c r="I262" s="413"/>
      <c r="J262" s="413"/>
      <c r="K262" s="413"/>
      <c r="L262" s="413"/>
      <c r="M262" s="413"/>
      <c r="N262" s="413"/>
      <c r="O262" s="413"/>
      <c r="P262" s="422"/>
      <c r="Q262" s="422"/>
      <c r="R262" s="422"/>
      <c r="S262" s="422"/>
      <c r="T262" s="422"/>
      <c r="U262" s="422"/>
    </row>
    <row r="263" spans="2:21">
      <c r="B263" s="413"/>
      <c r="C263" s="422"/>
      <c r="D263" s="422"/>
      <c r="E263" s="422"/>
      <c r="F263" s="422"/>
      <c r="G263" s="422"/>
      <c r="H263" s="422"/>
      <c r="I263" s="413"/>
      <c r="J263" s="413"/>
      <c r="K263" s="413"/>
      <c r="L263" s="413"/>
      <c r="M263" s="413"/>
      <c r="N263" s="413"/>
      <c r="O263" s="413"/>
      <c r="P263" s="422"/>
      <c r="Q263" s="422"/>
      <c r="R263" s="422"/>
      <c r="S263" s="422"/>
      <c r="T263" s="422"/>
      <c r="U263" s="422"/>
    </row>
    <row r="264" spans="2:21">
      <c r="B264" s="413"/>
      <c r="C264" s="422"/>
      <c r="D264" s="422"/>
      <c r="E264" s="422"/>
      <c r="F264" s="422"/>
      <c r="G264" s="422"/>
      <c r="H264" s="422"/>
      <c r="I264" s="413"/>
      <c r="J264" s="413"/>
      <c r="K264" s="413"/>
      <c r="L264" s="413"/>
      <c r="M264" s="413"/>
      <c r="N264" s="413"/>
      <c r="O264" s="413"/>
      <c r="P264" s="422"/>
      <c r="Q264" s="422"/>
      <c r="R264" s="422"/>
      <c r="S264" s="422"/>
      <c r="T264" s="422"/>
      <c r="U264" s="422"/>
    </row>
    <row r="265" spans="2:21">
      <c r="B265" s="413"/>
      <c r="C265" s="422"/>
      <c r="D265" s="422"/>
      <c r="E265" s="422"/>
      <c r="F265" s="422"/>
      <c r="G265" s="422"/>
      <c r="H265" s="422"/>
      <c r="I265" s="413"/>
      <c r="J265" s="413"/>
      <c r="K265" s="413"/>
      <c r="L265" s="413"/>
      <c r="M265" s="413"/>
      <c r="N265" s="413"/>
      <c r="O265" s="413"/>
      <c r="P265" s="422"/>
      <c r="Q265" s="422"/>
      <c r="R265" s="422"/>
      <c r="S265" s="422"/>
      <c r="T265" s="422"/>
      <c r="U265" s="422"/>
    </row>
    <row r="266" spans="2:21">
      <c r="B266" s="413"/>
      <c r="C266" s="422"/>
      <c r="D266" s="422"/>
      <c r="E266" s="422"/>
      <c r="F266" s="422"/>
      <c r="G266" s="422"/>
      <c r="H266" s="422"/>
      <c r="I266" s="413"/>
      <c r="J266" s="413"/>
      <c r="K266" s="413"/>
      <c r="L266" s="413"/>
      <c r="M266" s="413"/>
      <c r="N266" s="413"/>
      <c r="O266" s="413"/>
      <c r="P266" s="422"/>
      <c r="Q266" s="422"/>
      <c r="R266" s="422"/>
      <c r="S266" s="422"/>
      <c r="T266" s="422"/>
      <c r="U266" s="422"/>
    </row>
    <row r="267" spans="2:21">
      <c r="B267" s="413"/>
      <c r="C267" s="422"/>
      <c r="D267" s="422"/>
      <c r="E267" s="422"/>
      <c r="F267" s="422"/>
      <c r="G267" s="422"/>
      <c r="H267" s="422"/>
      <c r="I267" s="413"/>
      <c r="J267" s="413"/>
      <c r="K267" s="413"/>
      <c r="L267" s="413"/>
      <c r="M267" s="413"/>
      <c r="N267" s="413"/>
      <c r="O267" s="413"/>
      <c r="P267" s="422"/>
      <c r="Q267" s="422"/>
      <c r="R267" s="422"/>
      <c r="S267" s="422"/>
      <c r="T267" s="422"/>
      <c r="U267" s="422"/>
    </row>
    <row r="268" spans="2:21">
      <c r="B268" s="413"/>
      <c r="C268" s="422"/>
      <c r="D268" s="422"/>
      <c r="E268" s="422"/>
      <c r="F268" s="422"/>
      <c r="G268" s="422"/>
      <c r="H268" s="422"/>
      <c r="I268" s="413"/>
      <c r="J268" s="413"/>
      <c r="K268" s="413"/>
      <c r="L268" s="413"/>
      <c r="M268" s="413"/>
      <c r="N268" s="413"/>
      <c r="O268" s="413"/>
      <c r="P268" s="422"/>
      <c r="Q268" s="422"/>
      <c r="R268" s="422"/>
      <c r="S268" s="422"/>
      <c r="T268" s="422"/>
      <c r="U268" s="422"/>
    </row>
    <row r="269" spans="2:21">
      <c r="B269" s="413"/>
      <c r="C269" s="422"/>
      <c r="D269" s="422"/>
      <c r="E269" s="422"/>
      <c r="F269" s="422"/>
      <c r="G269" s="422"/>
      <c r="H269" s="422"/>
      <c r="I269" s="413"/>
      <c r="J269" s="413"/>
      <c r="K269" s="413"/>
      <c r="L269" s="413"/>
      <c r="M269" s="413"/>
      <c r="N269" s="413"/>
      <c r="O269" s="413"/>
      <c r="P269" s="422"/>
      <c r="Q269" s="422"/>
      <c r="R269" s="422"/>
      <c r="S269" s="422"/>
      <c r="T269" s="422"/>
      <c r="U269" s="422"/>
    </row>
    <row r="270" spans="2:21">
      <c r="B270" s="413"/>
      <c r="C270" s="422"/>
      <c r="D270" s="422"/>
      <c r="E270" s="422"/>
      <c r="F270" s="422"/>
      <c r="G270" s="422"/>
      <c r="H270" s="422"/>
      <c r="I270" s="413"/>
      <c r="J270" s="413"/>
      <c r="K270" s="413"/>
      <c r="L270" s="413"/>
      <c r="M270" s="413"/>
      <c r="N270" s="413"/>
      <c r="O270" s="413"/>
      <c r="P270" s="422"/>
      <c r="Q270" s="422"/>
      <c r="R270" s="422"/>
      <c r="S270" s="422"/>
      <c r="T270" s="422"/>
      <c r="U270" s="422"/>
    </row>
    <row r="271" spans="2:21">
      <c r="B271" s="413"/>
      <c r="C271" s="422"/>
      <c r="D271" s="422"/>
      <c r="E271" s="422"/>
      <c r="F271" s="422"/>
      <c r="G271" s="422"/>
      <c r="H271" s="422"/>
      <c r="I271" s="413"/>
      <c r="J271" s="413"/>
      <c r="K271" s="413"/>
      <c r="L271" s="413"/>
      <c r="M271" s="413"/>
      <c r="N271" s="413"/>
      <c r="O271" s="413"/>
      <c r="P271" s="422"/>
      <c r="Q271" s="422"/>
      <c r="R271" s="422"/>
      <c r="S271" s="422"/>
      <c r="T271" s="422"/>
      <c r="U271" s="422"/>
    </row>
    <row r="272" spans="2:21">
      <c r="B272" s="413"/>
      <c r="C272" s="422"/>
      <c r="D272" s="422"/>
      <c r="E272" s="422"/>
      <c r="F272" s="422"/>
      <c r="G272" s="422"/>
      <c r="H272" s="422"/>
      <c r="I272" s="413"/>
      <c r="J272" s="413"/>
      <c r="K272" s="413"/>
      <c r="L272" s="413"/>
      <c r="M272" s="413"/>
      <c r="N272" s="413"/>
      <c r="O272" s="413"/>
      <c r="P272" s="422"/>
      <c r="Q272" s="422"/>
      <c r="R272" s="422"/>
      <c r="S272" s="422"/>
      <c r="T272" s="422"/>
      <c r="U272" s="422"/>
    </row>
    <row r="273" spans="2:21">
      <c r="B273" s="413"/>
      <c r="C273" s="422"/>
      <c r="D273" s="422"/>
      <c r="E273" s="422"/>
      <c r="F273" s="422"/>
      <c r="G273" s="422"/>
      <c r="H273" s="422"/>
      <c r="I273" s="413"/>
      <c r="J273" s="413"/>
      <c r="K273" s="413"/>
      <c r="L273" s="413"/>
      <c r="M273" s="413"/>
      <c r="N273" s="413"/>
      <c r="O273" s="413"/>
      <c r="P273" s="422"/>
      <c r="Q273" s="422"/>
      <c r="R273" s="422"/>
      <c r="S273" s="422"/>
      <c r="T273" s="422"/>
      <c r="U273" s="422"/>
    </row>
    <row r="274" spans="2:21">
      <c r="B274" s="413"/>
      <c r="C274" s="422"/>
      <c r="D274" s="422"/>
      <c r="E274" s="422"/>
      <c r="F274" s="422"/>
      <c r="G274" s="422"/>
      <c r="H274" s="422"/>
      <c r="I274" s="413"/>
      <c r="J274" s="413"/>
      <c r="K274" s="413"/>
      <c r="L274" s="413"/>
      <c r="M274" s="413"/>
      <c r="N274" s="413"/>
      <c r="O274" s="413"/>
      <c r="P274" s="422"/>
      <c r="Q274" s="422"/>
      <c r="R274" s="422"/>
      <c r="S274" s="422"/>
      <c r="T274" s="422"/>
      <c r="U274" s="422"/>
    </row>
    <row r="275" spans="2:21">
      <c r="B275" s="413"/>
      <c r="C275" s="422"/>
      <c r="D275" s="422"/>
      <c r="E275" s="422"/>
      <c r="F275" s="422"/>
      <c r="G275" s="422"/>
      <c r="H275" s="422"/>
      <c r="I275" s="413"/>
      <c r="J275" s="413"/>
      <c r="K275" s="413"/>
      <c r="L275" s="413"/>
      <c r="M275" s="413"/>
      <c r="N275" s="413"/>
      <c r="O275" s="413"/>
      <c r="P275" s="422"/>
      <c r="Q275" s="422"/>
      <c r="R275" s="422"/>
      <c r="S275" s="422"/>
      <c r="T275" s="422"/>
      <c r="U275" s="422"/>
    </row>
    <row r="276" spans="2:21">
      <c r="B276" s="413"/>
      <c r="C276" s="422"/>
      <c r="D276" s="422"/>
      <c r="E276" s="422"/>
      <c r="F276" s="422"/>
      <c r="G276" s="422"/>
      <c r="H276" s="422"/>
      <c r="I276" s="413"/>
      <c r="J276" s="413"/>
      <c r="K276" s="413"/>
      <c r="L276" s="413"/>
      <c r="M276" s="413"/>
      <c r="N276" s="413"/>
      <c r="O276" s="413"/>
      <c r="P276" s="422"/>
      <c r="Q276" s="422"/>
      <c r="R276" s="422"/>
      <c r="S276" s="422"/>
      <c r="T276" s="422"/>
      <c r="U276" s="422"/>
    </row>
    <row r="277" spans="2:21">
      <c r="B277" s="413"/>
      <c r="C277" s="422"/>
      <c r="D277" s="422"/>
      <c r="E277" s="422"/>
      <c r="F277" s="422"/>
      <c r="G277" s="422"/>
      <c r="H277" s="422"/>
      <c r="I277" s="413"/>
      <c r="J277" s="413"/>
      <c r="K277" s="413"/>
      <c r="L277" s="413"/>
      <c r="M277" s="413"/>
      <c r="N277" s="413"/>
      <c r="O277" s="413"/>
      <c r="P277" s="422"/>
      <c r="Q277" s="422"/>
      <c r="R277" s="422"/>
      <c r="S277" s="422"/>
      <c r="T277" s="422"/>
      <c r="U277" s="422"/>
    </row>
    <row r="278" spans="2:21">
      <c r="B278" s="413"/>
      <c r="C278" s="422"/>
      <c r="D278" s="422"/>
      <c r="E278" s="422"/>
      <c r="F278" s="422"/>
      <c r="G278" s="422"/>
      <c r="H278" s="422"/>
      <c r="I278" s="413"/>
      <c r="J278" s="413"/>
      <c r="K278" s="413"/>
      <c r="L278" s="413"/>
      <c r="M278" s="413"/>
      <c r="N278" s="413"/>
      <c r="O278" s="413"/>
      <c r="P278" s="422"/>
      <c r="Q278" s="422"/>
      <c r="R278" s="422"/>
      <c r="S278" s="422"/>
      <c r="T278" s="422"/>
      <c r="U278" s="422"/>
    </row>
    <row r="279" spans="2:21">
      <c r="B279" s="413"/>
      <c r="C279" s="422"/>
      <c r="D279" s="422"/>
      <c r="E279" s="422"/>
      <c r="F279" s="422"/>
      <c r="G279" s="422"/>
      <c r="H279" s="422"/>
      <c r="I279" s="413"/>
      <c r="J279" s="413"/>
      <c r="K279" s="413"/>
      <c r="L279" s="413"/>
      <c r="M279" s="413"/>
      <c r="N279" s="413"/>
      <c r="O279" s="413"/>
      <c r="P279" s="422"/>
      <c r="Q279" s="422"/>
      <c r="R279" s="422"/>
      <c r="S279" s="422"/>
      <c r="T279" s="422"/>
      <c r="U279" s="422"/>
    </row>
    <row r="280" spans="2:21">
      <c r="B280" s="413"/>
      <c r="C280" s="422"/>
      <c r="D280" s="422"/>
      <c r="E280" s="422"/>
      <c r="F280" s="422"/>
      <c r="G280" s="422"/>
      <c r="H280" s="422"/>
      <c r="I280" s="413"/>
      <c r="J280" s="413"/>
      <c r="K280" s="413"/>
      <c r="L280" s="413"/>
      <c r="M280" s="413"/>
      <c r="N280" s="413"/>
      <c r="O280" s="413"/>
      <c r="P280" s="422"/>
      <c r="Q280" s="422"/>
      <c r="R280" s="422"/>
      <c r="S280" s="422"/>
      <c r="T280" s="422"/>
      <c r="U280" s="422"/>
    </row>
    <row r="281" spans="2:21">
      <c r="B281" s="413"/>
      <c r="C281" s="422"/>
      <c r="D281" s="422"/>
      <c r="E281" s="422"/>
      <c r="F281" s="422"/>
      <c r="G281" s="422"/>
      <c r="H281" s="422"/>
      <c r="I281" s="413"/>
      <c r="J281" s="413"/>
      <c r="K281" s="413"/>
      <c r="L281" s="413"/>
      <c r="M281" s="413"/>
      <c r="N281" s="413"/>
      <c r="O281" s="413"/>
      <c r="P281" s="422"/>
      <c r="Q281" s="422"/>
      <c r="R281" s="422"/>
      <c r="S281" s="422"/>
      <c r="T281" s="422"/>
      <c r="U281" s="422"/>
    </row>
    <row r="282" spans="2:21">
      <c r="B282" s="413"/>
      <c r="C282" s="422"/>
      <c r="D282" s="422"/>
      <c r="E282" s="422"/>
      <c r="F282" s="422"/>
      <c r="G282" s="422"/>
      <c r="H282" s="422"/>
      <c r="I282" s="413"/>
      <c r="J282" s="413"/>
      <c r="K282" s="413"/>
      <c r="L282" s="413"/>
      <c r="M282" s="413"/>
      <c r="N282" s="413"/>
      <c r="O282" s="413"/>
      <c r="P282" s="422"/>
      <c r="Q282" s="422"/>
      <c r="R282" s="422"/>
      <c r="S282" s="422"/>
      <c r="T282" s="422"/>
      <c r="U282" s="422"/>
    </row>
    <row r="283" spans="2:21">
      <c r="B283" s="413"/>
      <c r="C283" s="422"/>
      <c r="D283" s="422"/>
      <c r="E283" s="422"/>
      <c r="F283" s="422"/>
      <c r="G283" s="422"/>
      <c r="H283" s="422"/>
      <c r="I283" s="413"/>
      <c r="J283" s="413"/>
      <c r="K283" s="413"/>
      <c r="L283" s="413"/>
      <c r="M283" s="413"/>
      <c r="N283" s="413"/>
      <c r="O283" s="413"/>
      <c r="P283" s="422"/>
      <c r="Q283" s="422"/>
      <c r="R283" s="422"/>
      <c r="S283" s="422"/>
      <c r="T283" s="422"/>
      <c r="U283" s="422"/>
    </row>
    <row r="284" spans="2:21">
      <c r="B284" s="413"/>
      <c r="C284" s="422"/>
      <c r="D284" s="422"/>
      <c r="E284" s="422"/>
      <c r="F284" s="422"/>
      <c r="G284" s="422"/>
      <c r="H284" s="422"/>
      <c r="I284" s="413"/>
      <c r="J284" s="413"/>
      <c r="K284" s="413"/>
      <c r="L284" s="413"/>
      <c r="M284" s="413"/>
      <c r="N284" s="413"/>
      <c r="O284" s="413"/>
      <c r="P284" s="422"/>
      <c r="Q284" s="422"/>
      <c r="R284" s="422"/>
      <c r="S284" s="422"/>
      <c r="T284" s="422"/>
      <c r="U284" s="422"/>
    </row>
    <row r="285" spans="2:21">
      <c r="B285" s="413"/>
      <c r="C285" s="422"/>
      <c r="D285" s="422"/>
      <c r="E285" s="422"/>
      <c r="F285" s="422"/>
      <c r="G285" s="422"/>
      <c r="H285" s="422"/>
      <c r="I285" s="413"/>
      <c r="J285" s="413"/>
      <c r="K285" s="413"/>
      <c r="L285" s="413"/>
      <c r="M285" s="413"/>
      <c r="N285" s="413"/>
      <c r="O285" s="413"/>
      <c r="P285" s="422"/>
      <c r="Q285" s="422"/>
      <c r="R285" s="422"/>
      <c r="S285" s="422"/>
      <c r="T285" s="422"/>
      <c r="U285" s="422"/>
    </row>
    <row r="286" spans="2:21">
      <c r="B286" s="413"/>
      <c r="C286" s="422"/>
      <c r="D286" s="422"/>
      <c r="E286" s="422"/>
      <c r="F286" s="422"/>
      <c r="G286" s="422"/>
      <c r="H286" s="422"/>
      <c r="I286" s="413"/>
      <c r="J286" s="413"/>
      <c r="K286" s="413"/>
      <c r="L286" s="413"/>
      <c r="M286" s="413"/>
      <c r="N286" s="413"/>
      <c r="O286" s="413"/>
      <c r="P286" s="422"/>
      <c r="Q286" s="422"/>
      <c r="R286" s="422"/>
      <c r="S286" s="422"/>
      <c r="T286" s="422"/>
      <c r="U286" s="422"/>
    </row>
    <row r="287" spans="2:21">
      <c r="B287" s="413"/>
      <c r="C287" s="422"/>
      <c r="D287" s="422"/>
      <c r="E287" s="422"/>
      <c r="F287" s="422"/>
      <c r="G287" s="422"/>
      <c r="H287" s="422"/>
      <c r="I287" s="413"/>
      <c r="J287" s="413"/>
      <c r="K287" s="413"/>
      <c r="L287" s="413"/>
      <c r="M287" s="413"/>
      <c r="N287" s="413"/>
      <c r="O287" s="413"/>
      <c r="P287" s="422"/>
      <c r="Q287" s="422"/>
      <c r="R287" s="422"/>
      <c r="S287" s="422"/>
      <c r="T287" s="422"/>
      <c r="U287" s="422"/>
    </row>
    <row r="288" spans="2:21">
      <c r="B288" s="413"/>
      <c r="C288" s="422"/>
      <c r="D288" s="422"/>
      <c r="E288" s="422"/>
      <c r="F288" s="422"/>
      <c r="G288" s="422"/>
      <c r="H288" s="422"/>
      <c r="I288" s="413"/>
      <c r="J288" s="413"/>
      <c r="K288" s="413"/>
      <c r="L288" s="413"/>
      <c r="M288" s="413"/>
      <c r="N288" s="413"/>
      <c r="O288" s="413"/>
      <c r="P288" s="422"/>
      <c r="Q288" s="422"/>
      <c r="R288" s="422"/>
      <c r="S288" s="422"/>
      <c r="T288" s="422"/>
      <c r="U288" s="422"/>
    </row>
    <row r="289" spans="2:21">
      <c r="B289" s="413"/>
      <c r="C289" s="422"/>
      <c r="D289" s="422"/>
      <c r="E289" s="422"/>
      <c r="F289" s="422"/>
      <c r="G289" s="422"/>
      <c r="H289" s="422"/>
      <c r="I289" s="413"/>
      <c r="J289" s="413"/>
      <c r="K289" s="413"/>
      <c r="L289" s="413"/>
      <c r="M289" s="413"/>
      <c r="N289" s="413"/>
      <c r="O289" s="413"/>
      <c r="P289" s="422"/>
      <c r="Q289" s="422"/>
      <c r="R289" s="422"/>
      <c r="S289" s="422"/>
      <c r="T289" s="422"/>
      <c r="U289" s="422"/>
    </row>
    <row r="290" spans="2:21">
      <c r="B290" s="413"/>
      <c r="C290" s="422"/>
      <c r="D290" s="422"/>
      <c r="E290" s="422"/>
      <c r="F290" s="422"/>
      <c r="G290" s="422"/>
      <c r="H290" s="422"/>
      <c r="I290" s="413"/>
      <c r="J290" s="413"/>
      <c r="K290" s="413"/>
      <c r="L290" s="413"/>
      <c r="M290" s="413"/>
      <c r="N290" s="413"/>
      <c r="O290" s="413"/>
      <c r="P290" s="422"/>
      <c r="Q290" s="422"/>
      <c r="R290" s="422"/>
      <c r="S290" s="422"/>
      <c r="T290" s="422"/>
      <c r="U290" s="422"/>
    </row>
    <row r="291" spans="2:21">
      <c r="B291" s="413"/>
      <c r="C291" s="422"/>
      <c r="D291" s="422"/>
      <c r="E291" s="422"/>
      <c r="F291" s="422"/>
      <c r="G291" s="422"/>
      <c r="H291" s="422"/>
      <c r="I291" s="413"/>
      <c r="J291" s="413"/>
      <c r="K291" s="413"/>
      <c r="L291" s="413"/>
      <c r="M291" s="413"/>
      <c r="N291" s="413"/>
      <c r="O291" s="413"/>
      <c r="P291" s="422"/>
      <c r="Q291" s="422"/>
      <c r="R291" s="422"/>
      <c r="S291" s="422"/>
      <c r="T291" s="422"/>
      <c r="U291" s="422"/>
    </row>
    <row r="292" spans="2:21">
      <c r="B292" s="413"/>
      <c r="C292" s="422"/>
      <c r="D292" s="422"/>
      <c r="E292" s="422"/>
      <c r="F292" s="422"/>
      <c r="G292" s="422"/>
      <c r="H292" s="422"/>
      <c r="I292" s="413"/>
      <c r="J292" s="413"/>
      <c r="K292" s="413"/>
      <c r="L292" s="413"/>
      <c r="M292" s="413"/>
      <c r="N292" s="413"/>
      <c r="O292" s="413"/>
      <c r="P292" s="422"/>
      <c r="Q292" s="422"/>
      <c r="R292" s="422"/>
      <c r="S292" s="422"/>
      <c r="T292" s="422"/>
      <c r="U292" s="422"/>
    </row>
    <row r="293" spans="2:21">
      <c r="B293" s="413"/>
      <c r="C293" s="422"/>
      <c r="D293" s="422"/>
      <c r="E293" s="422"/>
      <c r="F293" s="422"/>
      <c r="G293" s="422"/>
      <c r="H293" s="422"/>
      <c r="I293" s="413"/>
      <c r="J293" s="413"/>
      <c r="K293" s="413"/>
      <c r="L293" s="413"/>
      <c r="M293" s="413"/>
      <c r="N293" s="413"/>
      <c r="O293" s="413"/>
      <c r="P293" s="422"/>
      <c r="Q293" s="422"/>
      <c r="R293" s="422"/>
      <c r="S293" s="422"/>
      <c r="T293" s="422"/>
      <c r="U293" s="422"/>
    </row>
    <row r="294" spans="2:21">
      <c r="B294" s="413"/>
      <c r="C294" s="422"/>
      <c r="D294" s="422"/>
      <c r="E294" s="422"/>
      <c r="F294" s="422"/>
      <c r="G294" s="422"/>
      <c r="H294" s="422"/>
      <c r="I294" s="413"/>
      <c r="J294" s="413"/>
      <c r="K294" s="413"/>
      <c r="L294" s="413"/>
      <c r="M294" s="413"/>
      <c r="N294" s="413"/>
      <c r="O294" s="413"/>
      <c r="P294" s="422"/>
      <c r="Q294" s="422"/>
      <c r="R294" s="422"/>
      <c r="S294" s="422"/>
      <c r="T294" s="422"/>
      <c r="U294" s="422"/>
    </row>
    <row r="295" spans="2:21">
      <c r="B295" s="413"/>
      <c r="C295" s="422"/>
      <c r="D295" s="422"/>
      <c r="E295" s="422"/>
      <c r="F295" s="422"/>
      <c r="G295" s="422"/>
      <c r="H295" s="422"/>
      <c r="I295" s="413"/>
      <c r="J295" s="413"/>
      <c r="K295" s="413"/>
      <c r="L295" s="413"/>
      <c r="M295" s="413"/>
      <c r="N295" s="413"/>
      <c r="O295" s="413"/>
      <c r="P295" s="422"/>
      <c r="Q295" s="422"/>
      <c r="R295" s="422"/>
      <c r="S295" s="422"/>
      <c r="T295" s="422"/>
      <c r="U295" s="422"/>
    </row>
    <row r="296" spans="2:21">
      <c r="B296" s="413"/>
      <c r="C296" s="422"/>
      <c r="D296" s="422"/>
      <c r="E296" s="422"/>
      <c r="F296" s="422"/>
      <c r="G296" s="422"/>
      <c r="H296" s="422"/>
      <c r="I296" s="413"/>
      <c r="J296" s="413"/>
      <c r="K296" s="413"/>
      <c r="L296" s="413"/>
      <c r="M296" s="413"/>
      <c r="N296" s="413"/>
      <c r="O296" s="413"/>
      <c r="P296" s="422"/>
      <c r="Q296" s="422"/>
      <c r="R296" s="422"/>
      <c r="S296" s="422"/>
      <c r="T296" s="422"/>
      <c r="U296" s="422"/>
    </row>
    <row r="297" spans="2:21">
      <c r="B297" s="413"/>
      <c r="C297" s="422"/>
      <c r="D297" s="422"/>
      <c r="E297" s="422"/>
      <c r="F297" s="422"/>
      <c r="G297" s="422"/>
      <c r="H297" s="422"/>
      <c r="I297" s="413"/>
      <c r="J297" s="413"/>
      <c r="K297" s="413"/>
      <c r="L297" s="413"/>
      <c r="M297" s="413"/>
      <c r="N297" s="413"/>
      <c r="O297" s="413"/>
      <c r="P297" s="422"/>
      <c r="Q297" s="422"/>
      <c r="R297" s="422"/>
      <c r="S297" s="422"/>
      <c r="T297" s="422"/>
      <c r="U297" s="422"/>
    </row>
    <row r="298" spans="2:21">
      <c r="B298" s="413"/>
      <c r="C298" s="422"/>
      <c r="D298" s="422"/>
      <c r="E298" s="422"/>
      <c r="F298" s="422"/>
      <c r="G298" s="422"/>
      <c r="H298" s="422"/>
      <c r="I298" s="413"/>
      <c r="J298" s="413"/>
      <c r="K298" s="413"/>
      <c r="L298" s="413"/>
      <c r="M298" s="413"/>
      <c r="N298" s="413"/>
      <c r="O298" s="413"/>
      <c r="P298" s="422"/>
      <c r="Q298" s="422"/>
      <c r="R298" s="422"/>
      <c r="S298" s="422"/>
      <c r="T298" s="422"/>
      <c r="U298" s="422"/>
    </row>
    <row r="299" spans="2:21">
      <c r="B299" s="413"/>
      <c r="C299" s="422"/>
      <c r="D299" s="422"/>
      <c r="E299" s="422"/>
      <c r="F299" s="422"/>
      <c r="G299" s="422"/>
      <c r="H299" s="422"/>
      <c r="I299" s="413"/>
      <c r="J299" s="413"/>
      <c r="K299" s="413"/>
      <c r="L299" s="413"/>
      <c r="M299" s="413"/>
      <c r="N299" s="413"/>
      <c r="O299" s="413"/>
      <c r="P299" s="422"/>
      <c r="Q299" s="422"/>
      <c r="R299" s="422"/>
      <c r="S299" s="422"/>
      <c r="T299" s="422"/>
      <c r="U299" s="422"/>
    </row>
    <row r="300" spans="2:21">
      <c r="B300" s="413"/>
      <c r="C300" s="422"/>
      <c r="D300" s="422"/>
      <c r="E300" s="422"/>
      <c r="F300" s="422"/>
      <c r="G300" s="422"/>
      <c r="H300" s="422"/>
      <c r="I300" s="413"/>
      <c r="J300" s="413"/>
      <c r="K300" s="413"/>
      <c r="L300" s="413"/>
      <c r="M300" s="413"/>
      <c r="N300" s="413"/>
      <c r="O300" s="413"/>
      <c r="P300" s="422"/>
      <c r="Q300" s="422"/>
      <c r="R300" s="422"/>
      <c r="S300" s="422"/>
      <c r="T300" s="422"/>
      <c r="U300" s="422"/>
    </row>
    <row r="301" spans="2:21">
      <c r="B301" s="413"/>
      <c r="C301" s="422"/>
      <c r="D301" s="422"/>
      <c r="E301" s="422"/>
      <c r="F301" s="422"/>
      <c r="G301" s="422"/>
      <c r="H301" s="422"/>
      <c r="I301" s="413"/>
      <c r="J301" s="413"/>
      <c r="K301" s="413"/>
      <c r="L301" s="413"/>
      <c r="M301" s="413"/>
      <c r="N301" s="413"/>
      <c r="O301" s="413"/>
      <c r="P301" s="422"/>
      <c r="Q301" s="422"/>
      <c r="R301" s="422"/>
      <c r="S301" s="422"/>
      <c r="T301" s="422"/>
      <c r="U301" s="422"/>
    </row>
    <row r="302" spans="2:21">
      <c r="B302" s="413"/>
      <c r="C302" s="422"/>
      <c r="D302" s="422"/>
      <c r="E302" s="422"/>
      <c r="F302" s="422"/>
      <c r="G302" s="422"/>
      <c r="H302" s="422"/>
      <c r="I302" s="413"/>
      <c r="J302" s="413"/>
      <c r="K302" s="413"/>
      <c r="L302" s="413"/>
      <c r="M302" s="413"/>
      <c r="N302" s="413"/>
      <c r="O302" s="413"/>
      <c r="P302" s="422"/>
      <c r="Q302" s="422"/>
      <c r="R302" s="422"/>
      <c r="S302" s="422"/>
      <c r="T302" s="422"/>
      <c r="U302" s="422"/>
    </row>
    <row r="303" spans="2:21">
      <c r="B303" s="413"/>
      <c r="C303" s="422"/>
      <c r="D303" s="422"/>
      <c r="E303" s="422"/>
      <c r="F303" s="422"/>
      <c r="G303" s="422"/>
      <c r="H303" s="422"/>
      <c r="I303" s="413"/>
      <c r="J303" s="413"/>
      <c r="K303" s="413"/>
      <c r="L303" s="413"/>
      <c r="M303" s="413"/>
      <c r="N303" s="413"/>
      <c r="O303" s="413"/>
      <c r="P303" s="422"/>
      <c r="Q303" s="422"/>
      <c r="R303" s="422"/>
      <c r="S303" s="422"/>
      <c r="T303" s="422"/>
      <c r="U303" s="422"/>
    </row>
    <row r="304" spans="2:21">
      <c r="B304" s="413"/>
      <c r="C304" s="422"/>
      <c r="D304" s="422"/>
      <c r="E304" s="422"/>
      <c r="F304" s="422"/>
      <c r="G304" s="422"/>
      <c r="H304" s="422"/>
      <c r="I304" s="413"/>
      <c r="J304" s="413"/>
      <c r="K304" s="413"/>
      <c r="L304" s="413"/>
      <c r="M304" s="413"/>
      <c r="N304" s="413"/>
      <c r="O304" s="413"/>
      <c r="P304" s="422"/>
      <c r="Q304" s="422"/>
      <c r="R304" s="422"/>
      <c r="S304" s="422"/>
      <c r="T304" s="422"/>
      <c r="U304" s="422"/>
    </row>
    <row r="305" spans="2:21">
      <c r="B305" s="413"/>
      <c r="C305" s="422"/>
      <c r="D305" s="422"/>
      <c r="E305" s="422"/>
      <c r="F305" s="422"/>
      <c r="G305" s="422"/>
      <c r="H305" s="422"/>
      <c r="I305" s="413"/>
      <c r="J305" s="413"/>
      <c r="K305" s="413"/>
      <c r="L305" s="413"/>
      <c r="M305" s="413"/>
      <c r="N305" s="413"/>
      <c r="O305" s="413"/>
      <c r="P305" s="422"/>
      <c r="Q305" s="422"/>
      <c r="R305" s="422"/>
      <c r="S305" s="422"/>
      <c r="T305" s="422"/>
      <c r="U305" s="422"/>
    </row>
    <row r="306" spans="2:21">
      <c r="B306" s="413"/>
      <c r="C306" s="422"/>
      <c r="D306" s="422"/>
      <c r="E306" s="422"/>
      <c r="F306" s="422"/>
      <c r="G306" s="422"/>
      <c r="H306" s="422"/>
      <c r="I306" s="413"/>
      <c r="J306" s="413"/>
      <c r="K306" s="413"/>
      <c r="L306" s="413"/>
      <c r="M306" s="413"/>
      <c r="N306" s="413"/>
      <c r="O306" s="413"/>
      <c r="P306" s="422"/>
      <c r="Q306" s="422"/>
      <c r="R306" s="422"/>
      <c r="S306" s="422"/>
      <c r="T306" s="422"/>
      <c r="U306" s="422"/>
    </row>
    <row r="307" spans="2:21">
      <c r="B307" s="413"/>
      <c r="C307" s="422"/>
      <c r="D307" s="422"/>
      <c r="E307" s="422"/>
      <c r="F307" s="422"/>
      <c r="G307" s="422"/>
      <c r="H307" s="422"/>
      <c r="I307" s="413"/>
      <c r="J307" s="413"/>
      <c r="K307" s="413"/>
      <c r="L307" s="413"/>
      <c r="M307" s="413"/>
      <c r="N307" s="413"/>
      <c r="O307" s="413"/>
      <c r="P307" s="422"/>
      <c r="Q307" s="422"/>
      <c r="R307" s="422"/>
      <c r="S307" s="422"/>
      <c r="T307" s="422"/>
      <c r="U307" s="422"/>
    </row>
    <row r="308" spans="2:21">
      <c r="B308" s="413"/>
      <c r="C308" s="422"/>
      <c r="D308" s="422"/>
      <c r="E308" s="422"/>
      <c r="F308" s="422"/>
      <c r="G308" s="422"/>
      <c r="H308" s="422"/>
      <c r="I308" s="413"/>
      <c r="J308" s="413"/>
      <c r="K308" s="413"/>
      <c r="L308" s="413"/>
      <c r="M308" s="413"/>
      <c r="N308" s="413"/>
      <c r="O308" s="413"/>
      <c r="P308" s="422"/>
      <c r="Q308" s="422"/>
      <c r="R308" s="422"/>
      <c r="S308" s="422"/>
      <c r="T308" s="422"/>
      <c r="U308" s="422"/>
    </row>
    <row r="309" spans="2:21">
      <c r="B309" s="413"/>
      <c r="C309" s="422"/>
      <c r="D309" s="422"/>
      <c r="E309" s="422"/>
      <c r="F309" s="422"/>
      <c r="G309" s="422"/>
      <c r="H309" s="422"/>
      <c r="I309" s="413"/>
      <c r="J309" s="413"/>
      <c r="K309" s="413"/>
      <c r="L309" s="413"/>
      <c r="M309" s="413"/>
      <c r="N309" s="413"/>
      <c r="O309" s="413"/>
      <c r="P309" s="422"/>
      <c r="Q309" s="422"/>
      <c r="R309" s="422"/>
      <c r="S309" s="422"/>
      <c r="T309" s="422"/>
      <c r="U309" s="422"/>
    </row>
    <row r="310" spans="2:21">
      <c r="B310" s="413"/>
      <c r="C310" s="422"/>
      <c r="D310" s="422"/>
      <c r="E310" s="422"/>
      <c r="F310" s="422"/>
      <c r="G310" s="422"/>
      <c r="H310" s="422"/>
      <c r="I310" s="413"/>
      <c r="J310" s="413"/>
      <c r="K310" s="413"/>
      <c r="L310" s="413"/>
      <c r="M310" s="413"/>
      <c r="N310" s="413"/>
      <c r="O310" s="413"/>
      <c r="P310" s="422"/>
      <c r="Q310" s="422"/>
      <c r="R310" s="422"/>
      <c r="S310" s="422"/>
      <c r="T310" s="422"/>
      <c r="U310" s="422"/>
    </row>
    <row r="311" spans="2:21">
      <c r="B311" s="413"/>
      <c r="C311" s="422"/>
      <c r="D311" s="422"/>
      <c r="E311" s="422"/>
      <c r="F311" s="422"/>
      <c r="G311" s="422"/>
      <c r="H311" s="422"/>
      <c r="I311" s="413"/>
      <c r="J311" s="413"/>
      <c r="K311" s="413"/>
      <c r="L311" s="413"/>
      <c r="M311" s="413"/>
      <c r="N311" s="413"/>
      <c r="O311" s="413"/>
      <c r="P311" s="422"/>
      <c r="Q311" s="422"/>
      <c r="R311" s="422"/>
      <c r="S311" s="422"/>
      <c r="T311" s="422"/>
      <c r="U311" s="422"/>
    </row>
    <row r="312" spans="2:21">
      <c r="B312" s="413"/>
      <c r="C312" s="422"/>
      <c r="D312" s="422"/>
      <c r="E312" s="422"/>
      <c r="F312" s="422"/>
      <c r="G312" s="422"/>
      <c r="H312" s="422"/>
      <c r="I312" s="413"/>
      <c r="J312" s="413"/>
      <c r="K312" s="413"/>
      <c r="L312" s="413"/>
      <c r="M312" s="413"/>
      <c r="N312" s="413"/>
      <c r="O312" s="413"/>
      <c r="P312" s="422"/>
      <c r="Q312" s="422"/>
      <c r="R312" s="422"/>
      <c r="S312" s="422"/>
      <c r="T312" s="422"/>
      <c r="U312" s="422"/>
    </row>
  </sheetData>
  <pageMargins left="0.5" right="0.5" top="0.5" bottom="0.5" header="0.5" footer="0.25"/>
  <pageSetup scale="59" fitToHeight="0" orientation="landscape" r:id="rId1"/>
  <headerFooter alignWithMargins="0">
    <oddFooter>&amp;C&amp;A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G54"/>
  <sheetViews>
    <sheetView showGridLines="0" tabSelected="1" zoomScaleNormal="100" workbookViewId="0">
      <selection activeCell="D10" sqref="D10 C23:C24"/>
    </sheetView>
  </sheetViews>
  <sheetFormatPr defaultColWidth="14.44140625" defaultRowHeight="13.2"/>
  <cols>
    <col min="1" max="1" width="30.5546875" style="96" customWidth="1"/>
    <col min="2" max="2" width="14.44140625" style="96"/>
    <col min="3" max="3" width="20.6640625" style="96" customWidth="1"/>
    <col min="4" max="4" width="15.33203125" style="96" customWidth="1"/>
    <col min="5" max="5" width="14.88671875" style="96" bestFit="1" customWidth="1"/>
    <col min="6" max="16384" width="14.44140625" style="96"/>
  </cols>
  <sheetData>
    <row r="1" spans="1:5">
      <c r="A1" s="581"/>
      <c r="B1" s="581"/>
      <c r="C1" s="581"/>
      <c r="D1" s="582" t="s">
        <v>113</v>
      </c>
      <c r="E1" s="581"/>
    </row>
    <row r="2" spans="1:5">
      <c r="A2" s="729" t="s">
        <v>625</v>
      </c>
      <c r="B2" s="729"/>
      <c r="C2" s="729"/>
      <c r="D2" s="729"/>
      <c r="E2" s="581"/>
    </row>
    <row r="3" spans="1:5">
      <c r="A3" s="733" t="s">
        <v>605</v>
      </c>
      <c r="B3" s="733"/>
      <c r="C3" s="733"/>
      <c r="D3" s="733"/>
      <c r="E3" s="581"/>
    </row>
    <row r="4" spans="1:5">
      <c r="A4" s="729" t="s">
        <v>45</v>
      </c>
      <c r="B4" s="729"/>
      <c r="C4" s="729"/>
      <c r="D4" s="729"/>
      <c r="E4" s="581"/>
    </row>
    <row r="5" spans="1:5">
      <c r="A5" s="730" t="s">
        <v>1175</v>
      </c>
      <c r="B5" s="730"/>
      <c r="C5" s="730"/>
      <c r="D5" s="730"/>
      <c r="E5" s="581"/>
    </row>
    <row r="6" spans="1:5">
      <c r="A6" s="581"/>
      <c r="B6" s="581"/>
      <c r="C6" s="581"/>
      <c r="D6" s="581"/>
      <c r="E6" s="581"/>
    </row>
    <row r="7" spans="1:5">
      <c r="A7" s="583"/>
      <c r="B7" s="581"/>
      <c r="C7" s="581"/>
      <c r="D7" s="584"/>
      <c r="E7" s="581"/>
    </row>
    <row r="8" spans="1:5">
      <c r="A8" s="585" t="s">
        <v>136</v>
      </c>
      <c r="B8" s="581"/>
      <c r="C8" s="581"/>
      <c r="D8" s="581"/>
      <c r="E8" s="581"/>
    </row>
    <row r="9" spans="1:5">
      <c r="A9" s="585"/>
      <c r="B9" s="581"/>
      <c r="C9" s="581"/>
      <c r="D9" s="581"/>
      <c r="E9" s="581"/>
    </row>
    <row r="10" spans="1:5">
      <c r="A10" s="583" t="s">
        <v>917</v>
      </c>
      <c r="B10" s="581"/>
      <c r="C10" s="581"/>
      <c r="D10" s="586">
        <f>1-(((1-C21)*(1-C20))/(1-C21*C20*C22))</f>
        <v>0.37417999999999996</v>
      </c>
      <c r="E10" s="581"/>
    </row>
    <row r="11" spans="1:5">
      <c r="A11" s="583"/>
      <c r="B11" s="581"/>
      <c r="C11" s="581"/>
      <c r="D11" s="586"/>
      <c r="E11" s="581"/>
    </row>
    <row r="12" spans="1:5">
      <c r="A12" s="583" t="s">
        <v>307</v>
      </c>
      <c r="B12" s="581"/>
      <c r="C12" s="581"/>
      <c r="D12" s="586">
        <f>(D10/(1-D10))*(1-C23/C24)</f>
        <v>0.39591198969980518</v>
      </c>
      <c r="E12" s="581"/>
    </row>
    <row r="13" spans="1:5">
      <c r="A13" s="583" t="s">
        <v>916</v>
      </c>
      <c r="B13" s="581"/>
      <c r="C13" s="581"/>
      <c r="D13" s="581"/>
      <c r="E13" s="581"/>
    </row>
    <row r="14" spans="1:5">
      <c r="A14" s="583" t="s">
        <v>929</v>
      </c>
      <c r="B14" s="581"/>
      <c r="C14" s="581"/>
      <c r="D14" s="581"/>
      <c r="E14" s="581"/>
    </row>
    <row r="15" spans="1:5">
      <c r="A15" s="583"/>
      <c r="B15" s="581"/>
      <c r="C15" s="581"/>
      <c r="D15" s="581"/>
      <c r="E15" s="581"/>
    </row>
    <row r="16" spans="1:5">
      <c r="A16" s="583" t="s">
        <v>308</v>
      </c>
      <c r="B16" s="581"/>
      <c r="C16" s="581"/>
      <c r="D16" s="584">
        <f>1/(1-D10)</f>
        <v>1.5979035505416892</v>
      </c>
      <c r="E16" s="581"/>
    </row>
    <row r="17" spans="1:7">
      <c r="A17" s="583"/>
      <c r="B17" s="581"/>
      <c r="C17" s="581"/>
      <c r="D17" s="584"/>
      <c r="E17" s="581"/>
    </row>
    <row r="18" spans="1:7">
      <c r="A18" s="583" t="s">
        <v>260</v>
      </c>
      <c r="B18" s="581"/>
      <c r="C18" s="581" t="s">
        <v>309</v>
      </c>
      <c r="D18" s="581">
        <v>0</v>
      </c>
      <c r="E18" s="581"/>
    </row>
    <row r="19" spans="1:7">
      <c r="A19" s="581"/>
      <c r="B19" s="581"/>
      <c r="C19" s="581"/>
      <c r="D19" s="581"/>
      <c r="E19" s="581"/>
    </row>
    <row r="20" spans="1:7">
      <c r="A20" s="582"/>
      <c r="B20" s="582" t="s">
        <v>261</v>
      </c>
      <c r="C20" s="587">
        <v>0.35</v>
      </c>
      <c r="D20" s="581"/>
      <c r="E20" s="581"/>
    </row>
    <row r="21" spans="1:7">
      <c r="A21" s="582"/>
      <c r="B21" s="582" t="s">
        <v>262</v>
      </c>
      <c r="C21" s="588">
        <f>+D49</f>
        <v>3.7199999999999997E-2</v>
      </c>
      <c r="D21" s="589" t="s">
        <v>428</v>
      </c>
      <c r="E21" s="581"/>
      <c r="G21" s="97"/>
    </row>
    <row r="22" spans="1:7" ht="25.5" customHeight="1">
      <c r="A22" s="582"/>
      <c r="B22" s="590" t="s">
        <v>918</v>
      </c>
      <c r="C22" s="591">
        <v>0</v>
      </c>
      <c r="D22" s="731" t="s">
        <v>937</v>
      </c>
      <c r="E22" s="732"/>
      <c r="G22" s="97"/>
    </row>
    <row r="23" spans="1:7">
      <c r="A23" s="581"/>
      <c r="B23" s="582" t="s">
        <v>310</v>
      </c>
      <c r="C23" s="653">
        <v>2.4875050400000001E-2</v>
      </c>
      <c r="D23" s="581"/>
      <c r="E23" s="581"/>
    </row>
    <row r="24" spans="1:7">
      <c r="A24" s="581"/>
      <c r="B24" s="582" t="s">
        <v>311</v>
      </c>
      <c r="C24" s="653">
        <v>7.3631199700000011E-2</v>
      </c>
      <c r="D24" s="581"/>
      <c r="E24" s="581"/>
    </row>
    <row r="25" spans="1:7">
      <c r="A25" s="581"/>
      <c r="B25" s="581"/>
      <c r="C25" s="581"/>
      <c r="D25" s="581"/>
      <c r="E25" s="581"/>
    </row>
    <row r="26" spans="1:7">
      <c r="A26" s="581"/>
      <c r="B26" s="581"/>
      <c r="C26" s="581"/>
      <c r="D26" s="581"/>
      <c r="E26" s="581"/>
    </row>
    <row r="27" spans="1:7">
      <c r="A27" s="592" t="s">
        <v>1183</v>
      </c>
      <c r="B27" s="581"/>
      <c r="C27" s="581"/>
      <c r="D27" s="581"/>
      <c r="E27" s="581"/>
    </row>
    <row r="28" spans="1:7">
      <c r="A28" s="581"/>
      <c r="B28" s="581"/>
      <c r="C28" s="581"/>
      <c r="D28" s="581"/>
      <c r="E28" s="581"/>
    </row>
    <row r="29" spans="1:7">
      <c r="A29" s="581" t="s">
        <v>41</v>
      </c>
      <c r="B29" s="581"/>
      <c r="C29" s="587">
        <v>6.5000000000000002E-2</v>
      </c>
      <c r="D29" s="581"/>
      <c r="E29" s="581"/>
    </row>
    <row r="30" spans="1:7">
      <c r="A30" s="581" t="s">
        <v>91</v>
      </c>
      <c r="B30" s="581"/>
      <c r="C30" s="593">
        <v>2.3400000000000001E-2</v>
      </c>
      <c r="D30" s="581"/>
      <c r="E30" s="581"/>
    </row>
    <row r="31" spans="1:7">
      <c r="A31" s="581" t="s">
        <v>263</v>
      </c>
      <c r="B31" s="581"/>
      <c r="C31" s="594"/>
      <c r="D31" s="595">
        <f>ROUND(+C29*C30,4)</f>
        <v>1.5E-3</v>
      </c>
      <c r="E31" s="581"/>
    </row>
    <row r="32" spans="1:7">
      <c r="A32" s="581"/>
      <c r="B32" s="581"/>
      <c r="C32" s="594"/>
      <c r="D32" s="581"/>
      <c r="E32" s="581"/>
    </row>
    <row r="33" spans="1:5">
      <c r="A33" s="581" t="s">
        <v>93</v>
      </c>
      <c r="B33" s="581"/>
      <c r="C33" s="587">
        <v>0.06</v>
      </c>
      <c r="D33" s="581"/>
      <c r="E33" s="581"/>
    </row>
    <row r="34" spans="1:5">
      <c r="A34" s="581" t="s">
        <v>91</v>
      </c>
      <c r="B34" s="581"/>
      <c r="C34" s="593">
        <v>2.0000000000000001E-4</v>
      </c>
      <c r="D34" s="581"/>
      <c r="E34" s="581"/>
    </row>
    <row r="35" spans="1:5">
      <c r="A35" s="581" t="s">
        <v>263</v>
      </c>
      <c r="B35" s="581"/>
      <c r="C35" s="594"/>
      <c r="D35" s="595">
        <f>ROUND(+C33*C34,4)</f>
        <v>0</v>
      </c>
      <c r="E35" s="581"/>
    </row>
    <row r="36" spans="1:5">
      <c r="A36" s="581"/>
      <c r="B36" s="581"/>
      <c r="C36" s="594"/>
      <c r="D36" s="581"/>
      <c r="E36" s="581"/>
    </row>
    <row r="37" spans="1:5">
      <c r="A37" s="581" t="s">
        <v>42</v>
      </c>
      <c r="B37" s="581"/>
      <c r="C37" s="587">
        <v>0.06</v>
      </c>
      <c r="D37" s="588"/>
      <c r="E37" s="581"/>
    </row>
    <row r="38" spans="1:5">
      <c r="A38" s="581" t="s">
        <v>91</v>
      </c>
      <c r="B38" s="581"/>
      <c r="C38" s="593">
        <v>0</v>
      </c>
      <c r="D38" s="588"/>
      <c r="E38" s="581"/>
    </row>
    <row r="39" spans="1:5">
      <c r="A39" s="581" t="s">
        <v>263</v>
      </c>
      <c r="B39" s="581"/>
      <c r="C39" s="587"/>
      <c r="D39" s="595">
        <f>ROUND(+C37*C38,4)</f>
        <v>0</v>
      </c>
      <c r="E39" s="581"/>
    </row>
    <row r="40" spans="1:5">
      <c r="A40" s="581"/>
      <c r="B40" s="581"/>
      <c r="C40" s="594"/>
      <c r="D40" s="581"/>
      <c r="E40" s="581"/>
    </row>
    <row r="41" spans="1:5">
      <c r="A41" s="581" t="s">
        <v>43</v>
      </c>
      <c r="B41" s="581"/>
      <c r="C41" s="587">
        <v>6.5000000000000002E-2</v>
      </c>
      <c r="D41" s="581"/>
      <c r="E41" s="581"/>
    </row>
    <row r="42" spans="1:5">
      <c r="A42" s="581" t="s">
        <v>91</v>
      </c>
      <c r="B42" s="581"/>
      <c r="C42" s="593">
        <v>0.54269999999999996</v>
      </c>
      <c r="D42" s="581"/>
      <c r="E42" s="581"/>
    </row>
    <row r="43" spans="1:5">
      <c r="A43" s="581" t="s">
        <v>263</v>
      </c>
      <c r="B43" s="581"/>
      <c r="C43" s="594"/>
      <c r="D43" s="595">
        <f>ROUND(+C41*C42,4)</f>
        <v>3.5299999999999998E-2</v>
      </c>
      <c r="E43" s="581"/>
    </row>
    <row r="44" spans="1:5">
      <c r="A44" s="581"/>
      <c r="B44" s="581"/>
      <c r="C44" s="594"/>
      <c r="D44" s="581"/>
      <c r="E44" s="581"/>
    </row>
    <row r="45" spans="1:5">
      <c r="A45" s="581" t="s">
        <v>92</v>
      </c>
      <c r="B45" s="581"/>
      <c r="C45" s="587">
        <v>7.7499999999999999E-2</v>
      </c>
      <c r="D45" s="581"/>
      <c r="E45" s="581"/>
    </row>
    <row r="46" spans="1:5">
      <c r="A46" s="581" t="s">
        <v>91</v>
      </c>
      <c r="B46" s="581"/>
      <c r="C46" s="593">
        <v>4.7000000000000002E-3</v>
      </c>
      <c r="D46" s="581"/>
      <c r="E46" s="581"/>
    </row>
    <row r="47" spans="1:5">
      <c r="A47" s="581" t="s">
        <v>263</v>
      </c>
      <c r="B47" s="581"/>
      <c r="C47" s="581"/>
      <c r="D47" s="596">
        <f>ROUND(+C45*C46,4)</f>
        <v>4.0000000000000002E-4</v>
      </c>
      <c r="E47" s="581"/>
    </row>
    <row r="48" spans="1:5">
      <c r="A48" s="581"/>
      <c r="B48" s="581"/>
      <c r="C48" s="581"/>
      <c r="D48" s="581"/>
      <c r="E48" s="581"/>
    </row>
    <row r="49" spans="1:5" ht="13.8" thickBot="1">
      <c r="A49" s="581" t="s">
        <v>264</v>
      </c>
      <c r="B49" s="581"/>
      <c r="C49" s="581"/>
      <c r="D49" s="597">
        <f>SUM(D31,D35,D39,D43,D47)</f>
        <v>3.7199999999999997E-2</v>
      </c>
      <c r="E49" s="581"/>
    </row>
    <row r="50" spans="1:5" ht="13.8" thickTop="1">
      <c r="A50" s="581"/>
      <c r="B50" s="581"/>
      <c r="C50" s="581"/>
      <c r="D50" s="581"/>
      <c r="E50" s="581"/>
    </row>
    <row r="51" spans="1:5">
      <c r="A51" s="589" t="s">
        <v>938</v>
      </c>
      <c r="B51" s="581"/>
      <c r="C51" s="581"/>
      <c r="D51" s="581"/>
      <c r="E51" s="581"/>
    </row>
    <row r="52" spans="1:5">
      <c r="A52" s="581" t="s">
        <v>940</v>
      </c>
      <c r="B52" s="581"/>
      <c r="C52" s="581"/>
      <c r="D52" s="581"/>
      <c r="E52" s="581"/>
    </row>
    <row r="53" spans="1:5">
      <c r="A53" s="581" t="s">
        <v>939</v>
      </c>
      <c r="B53" s="581"/>
      <c r="C53" s="581"/>
      <c r="D53" s="581"/>
      <c r="E53" s="581"/>
    </row>
    <row r="54" spans="1:5">
      <c r="A54" s="581" t="s">
        <v>113</v>
      </c>
      <c r="B54" s="581"/>
      <c r="C54" s="581"/>
      <c r="D54" s="581"/>
      <c r="E54" s="581"/>
    </row>
  </sheetData>
  <mergeCells count="5">
    <mergeCell ref="A2:D2"/>
    <mergeCell ref="A4:D4"/>
    <mergeCell ref="A5:D5"/>
    <mergeCell ref="D22:E22"/>
    <mergeCell ref="A3:D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30"/>
  <sheetViews>
    <sheetView showGridLines="0" view="pageBreakPreview" zoomScale="60" zoomScaleNormal="100" workbookViewId="0">
      <selection activeCell="M38" sqref="M38"/>
    </sheetView>
  </sheetViews>
  <sheetFormatPr defaultColWidth="9.109375" defaultRowHeight="13.2"/>
  <cols>
    <col min="1" max="1" width="29" style="30" customWidth="1"/>
    <col min="2" max="2" width="2.88671875" style="30" customWidth="1"/>
    <col min="3" max="3" width="35.6640625" style="30" customWidth="1"/>
    <col min="4" max="4" width="13" style="30" customWidth="1"/>
    <col min="5" max="5" width="19.5546875" style="30" bestFit="1" customWidth="1"/>
    <col min="6" max="6" width="33.6640625" style="30" customWidth="1"/>
    <col min="7" max="7" width="14.88671875" style="30" bestFit="1" customWidth="1"/>
    <col min="8" max="8" width="14.6640625" style="30" bestFit="1" customWidth="1"/>
    <col min="9" max="10" width="12" style="30" bestFit="1" customWidth="1"/>
    <col min="11" max="16384" width="9.109375" style="30"/>
  </cols>
  <sheetData>
    <row r="1" spans="1:7" ht="17.399999999999999">
      <c r="B1" s="88"/>
      <c r="D1" s="298" t="s">
        <v>113</v>
      </c>
      <c r="G1" s="385" t="s">
        <v>930</v>
      </c>
    </row>
    <row r="2" spans="1:7" ht="17.399999999999999">
      <c r="A2" s="738" t="s">
        <v>625</v>
      </c>
      <c r="B2" s="738"/>
      <c r="C2" s="738"/>
      <c r="D2" s="735"/>
      <c r="E2" s="735"/>
      <c r="F2" s="735"/>
      <c r="G2" s="735"/>
    </row>
    <row r="3" spans="1:7" ht="17.399999999999999">
      <c r="A3" s="739" t="s">
        <v>605</v>
      </c>
      <c r="B3" s="739"/>
      <c r="C3" s="739"/>
      <c r="D3" s="735"/>
      <c r="E3" s="735"/>
      <c r="F3" s="735"/>
      <c r="G3" s="735"/>
    </row>
    <row r="4" spans="1:7" ht="17.399999999999999">
      <c r="A4" s="734" t="s">
        <v>46</v>
      </c>
      <c r="B4" s="734"/>
      <c r="C4" s="734"/>
      <c r="D4" s="735"/>
      <c r="E4" s="735"/>
      <c r="F4" s="735"/>
      <c r="G4" s="735"/>
    </row>
    <row r="5" spans="1:7" ht="17.399999999999999">
      <c r="A5" s="736" t="s">
        <v>1175</v>
      </c>
      <c r="B5" s="736"/>
      <c r="C5" s="737"/>
      <c r="D5" s="735"/>
      <c r="E5" s="735"/>
      <c r="F5" s="735"/>
      <c r="G5" s="735"/>
    </row>
    <row r="6" spans="1:7">
      <c r="A6" s="88" t="s">
        <v>113</v>
      </c>
    </row>
    <row r="8" spans="1:7">
      <c r="C8" s="29"/>
    </row>
    <row r="9" spans="1:7">
      <c r="A9" s="88" t="s">
        <v>367</v>
      </c>
      <c r="B9" s="88"/>
      <c r="C9" s="29">
        <f>+E61+E74+E77+E78+E79+E80+E81</f>
        <v>8400592</v>
      </c>
      <c r="D9" s="88" t="s">
        <v>306</v>
      </c>
    </row>
    <row r="10" spans="1:7">
      <c r="C10" s="29"/>
    </row>
    <row r="11" spans="1:7">
      <c r="A11" s="88" t="s">
        <v>368</v>
      </c>
      <c r="B11" s="88"/>
      <c r="C11" s="29">
        <f>E34+E35+E36+E37+E43+E44+E45+E46+E53+E54+E56+E57</f>
        <v>63547826</v>
      </c>
      <c r="D11" s="88" t="s">
        <v>369</v>
      </c>
    </row>
    <row r="12" spans="1:7">
      <c r="A12" s="88" t="s">
        <v>502</v>
      </c>
      <c r="B12" s="88"/>
      <c r="C12" s="29">
        <f>E86+E87+E124+E125</f>
        <v>22061084</v>
      </c>
      <c r="D12" s="88" t="s">
        <v>105</v>
      </c>
    </row>
    <row r="13" spans="1:7">
      <c r="A13" s="88" t="s">
        <v>503</v>
      </c>
      <c r="B13" s="88"/>
      <c r="C13" s="29">
        <v>0</v>
      </c>
      <c r="D13" s="88" t="s">
        <v>111</v>
      </c>
    </row>
    <row r="14" spans="1:7">
      <c r="A14" s="88" t="s">
        <v>109</v>
      </c>
      <c r="B14" s="88"/>
      <c r="C14" s="29">
        <f>E90+E91+E93+E94+E95+E96+E97+E98+E104+E105+E106+E107+E108+E109+E110+E111+E113+E117+E118</f>
        <v>15832348</v>
      </c>
      <c r="D14" s="88" t="s">
        <v>109</v>
      </c>
    </row>
    <row r="15" spans="1:7">
      <c r="A15" s="88" t="s">
        <v>370</v>
      </c>
      <c r="B15" s="88"/>
      <c r="C15" s="89">
        <f>+E27+E28+E29+E30</f>
        <v>13395252</v>
      </c>
      <c r="D15" s="88" t="s">
        <v>371</v>
      </c>
    </row>
    <row r="16" spans="1:7">
      <c r="C16" s="29"/>
    </row>
    <row r="17" spans="1:7" ht="13.8" thickBot="1">
      <c r="C17" s="90">
        <f>SUM(C9,C11:C15)</f>
        <v>123237102</v>
      </c>
    </row>
    <row r="18" spans="1:7" ht="13.8" thickTop="1">
      <c r="C18" s="91"/>
    </row>
    <row r="20" spans="1:7" ht="17.399999999999999">
      <c r="A20" s="316"/>
      <c r="B20" s="317"/>
      <c r="C20" s="318" t="s">
        <v>636</v>
      </c>
      <c r="D20" s="319"/>
      <c r="E20" s="320" t="s">
        <v>911</v>
      </c>
      <c r="F20" s="320" t="s">
        <v>637</v>
      </c>
      <c r="G20" s="320" t="s">
        <v>638</v>
      </c>
    </row>
    <row r="21" spans="1:7" ht="17.399999999999999">
      <c r="A21" s="321"/>
      <c r="B21" s="322"/>
      <c r="C21" s="322"/>
      <c r="D21" s="322"/>
      <c r="E21" s="255"/>
      <c r="F21" s="323"/>
    </row>
    <row r="22" spans="1:7" ht="17.399999999999999">
      <c r="A22" s="321" t="s">
        <v>129</v>
      </c>
      <c r="B22" s="322"/>
      <c r="C22" s="322"/>
      <c r="D22" s="322"/>
      <c r="E22" s="324" t="s">
        <v>639</v>
      </c>
      <c r="F22" s="325"/>
    </row>
    <row r="23" spans="1:7" ht="17.399999999999999">
      <c r="A23" s="326" t="s">
        <v>640</v>
      </c>
      <c r="B23" s="327"/>
      <c r="C23" s="326" t="s">
        <v>699</v>
      </c>
      <c r="D23" s="327"/>
      <c r="E23" s="326" t="s">
        <v>641</v>
      </c>
      <c r="F23" s="328" t="s">
        <v>642</v>
      </c>
      <c r="G23" s="328" t="s">
        <v>372</v>
      </c>
    </row>
    <row r="24" spans="1:7" ht="17.399999999999999">
      <c r="A24" s="329"/>
      <c r="B24" s="317"/>
      <c r="C24" s="330"/>
      <c r="D24" s="330"/>
      <c r="E24" s="324"/>
      <c r="F24" s="331"/>
    </row>
    <row r="25" spans="1:7" ht="17.399999999999999">
      <c r="A25" s="316">
        <v>1</v>
      </c>
      <c r="B25" s="317"/>
      <c r="C25" s="332" t="s">
        <v>96</v>
      </c>
      <c r="D25" s="317"/>
      <c r="E25" s="334"/>
      <c r="F25" s="262"/>
    </row>
    <row r="26" spans="1:7" ht="17.399999999999999">
      <c r="A26" s="316">
        <f>+A25+1</f>
        <v>2</v>
      </c>
      <c r="B26" s="317"/>
      <c r="C26" s="333" t="s">
        <v>643</v>
      </c>
      <c r="D26" s="317"/>
      <c r="E26" s="335"/>
      <c r="F26" s="336"/>
    </row>
    <row r="27" spans="1:7" ht="17.399999999999999">
      <c r="A27" s="316"/>
      <c r="B27" s="317"/>
      <c r="C27" s="333"/>
      <c r="D27" s="317"/>
      <c r="E27" s="548">
        <v>13633007</v>
      </c>
      <c r="F27" s="339" t="s">
        <v>1228</v>
      </c>
      <c r="G27" s="354" t="s">
        <v>660</v>
      </c>
    </row>
    <row r="28" spans="1:7" ht="17.399999999999999">
      <c r="A28" s="316"/>
      <c r="B28" s="317"/>
      <c r="C28" s="333"/>
      <c r="D28" s="317"/>
      <c r="E28" s="548">
        <v>-24958</v>
      </c>
      <c r="F28" s="339" t="s">
        <v>1229</v>
      </c>
      <c r="G28" s="354" t="s">
        <v>660</v>
      </c>
    </row>
    <row r="29" spans="1:7" ht="17.399999999999999">
      <c r="A29" s="316"/>
      <c r="B29" s="317"/>
      <c r="C29" s="333"/>
      <c r="D29" s="317"/>
      <c r="E29" s="348">
        <v>178569</v>
      </c>
      <c r="F29" s="339" t="s">
        <v>977</v>
      </c>
      <c r="G29" s="354" t="s">
        <v>660</v>
      </c>
    </row>
    <row r="30" spans="1:7" ht="17.399999999999999">
      <c r="A30" s="316"/>
      <c r="B30" s="317"/>
      <c r="C30" s="333"/>
      <c r="D30" s="317"/>
      <c r="E30" s="348">
        <v>-391366</v>
      </c>
      <c r="F30" s="339" t="s">
        <v>1096</v>
      </c>
      <c r="G30" s="354" t="s">
        <v>660</v>
      </c>
    </row>
    <row r="31" spans="1:7" ht="17.399999999999999">
      <c r="A31" s="316"/>
      <c r="B31" s="317"/>
      <c r="C31" s="333"/>
      <c r="D31" s="317"/>
      <c r="G31" s="354"/>
    </row>
    <row r="32" spans="1:7" ht="17.399999999999999">
      <c r="A32" s="316">
        <f>+A26+1</f>
        <v>3</v>
      </c>
      <c r="B32" s="317"/>
      <c r="C32" s="332" t="s">
        <v>97</v>
      </c>
      <c r="D32" s="317"/>
      <c r="E32" s="337"/>
      <c r="F32" s="335"/>
      <c r="G32" s="92"/>
    </row>
    <row r="33" spans="1:7" ht="17.399999999999999">
      <c r="A33" s="316">
        <f>+A32+1</f>
        <v>4</v>
      </c>
      <c r="B33" s="317"/>
      <c r="C33" s="334" t="s">
        <v>644</v>
      </c>
      <c r="D33" s="334"/>
      <c r="E33" s="337"/>
      <c r="F33" s="335"/>
      <c r="G33" s="92"/>
    </row>
    <row r="34" spans="1:7" ht="17.399999999999999">
      <c r="A34" s="316"/>
      <c r="B34" s="317"/>
      <c r="C34" s="334"/>
      <c r="D34" s="334"/>
      <c r="E34" s="548">
        <v>21226314</v>
      </c>
      <c r="F34" s="339" t="s">
        <v>1230</v>
      </c>
      <c r="G34" s="354" t="s">
        <v>369</v>
      </c>
    </row>
    <row r="35" spans="1:7" ht="17.399999999999999">
      <c r="A35" s="316"/>
      <c r="B35" s="317"/>
      <c r="C35" s="334"/>
      <c r="D35" s="334"/>
      <c r="E35" s="548">
        <v>22313184</v>
      </c>
      <c r="F35" s="339" t="s">
        <v>645</v>
      </c>
      <c r="G35" s="354" t="s">
        <v>369</v>
      </c>
    </row>
    <row r="36" spans="1:7" ht="17.399999999999999">
      <c r="A36" s="316"/>
      <c r="B36" s="317"/>
      <c r="C36" s="334"/>
      <c r="D36" s="334"/>
      <c r="E36" s="548">
        <v>52968</v>
      </c>
      <c r="F36" s="339" t="s">
        <v>1231</v>
      </c>
      <c r="G36" s="354" t="s">
        <v>369</v>
      </c>
    </row>
    <row r="37" spans="1:7" ht="17.399999999999999">
      <c r="A37" s="316"/>
      <c r="B37" s="317"/>
      <c r="C37" s="334"/>
      <c r="D37" s="334"/>
      <c r="E37" s="548">
        <v>76350</v>
      </c>
      <c r="F37" s="339" t="s">
        <v>1232</v>
      </c>
      <c r="G37" s="354" t="s">
        <v>369</v>
      </c>
    </row>
    <row r="38" spans="1:7" ht="17.399999999999999">
      <c r="A38" s="316"/>
      <c r="B38" s="317"/>
      <c r="C38" s="334"/>
      <c r="D38" s="334"/>
      <c r="E38" s="338" t="s">
        <v>113</v>
      </c>
      <c r="F38" s="339" t="s">
        <v>113</v>
      </c>
      <c r="G38" s="354" t="s">
        <v>113</v>
      </c>
    </row>
    <row r="39" spans="1:7" ht="17.399999999999999">
      <c r="A39" s="316"/>
      <c r="B39" s="317"/>
      <c r="C39" s="334"/>
      <c r="D39" s="334"/>
      <c r="E39" s="338" t="s">
        <v>113</v>
      </c>
      <c r="F39" s="339" t="s">
        <v>113</v>
      </c>
      <c r="G39" s="354" t="s">
        <v>113</v>
      </c>
    </row>
    <row r="40" spans="1:7" ht="17.399999999999999">
      <c r="A40" s="316"/>
      <c r="B40" s="317"/>
      <c r="C40" s="334"/>
      <c r="D40" s="334"/>
      <c r="E40" s="338"/>
      <c r="F40" s="339" t="s">
        <v>113</v>
      </c>
      <c r="G40" s="354" t="s">
        <v>113</v>
      </c>
    </row>
    <row r="41" spans="1:7" ht="17.399999999999999">
      <c r="A41" s="316"/>
      <c r="B41" s="317"/>
      <c r="C41" s="334"/>
      <c r="D41" s="334"/>
      <c r="E41" s="338"/>
      <c r="F41" s="339" t="s">
        <v>113</v>
      </c>
      <c r="G41" s="354" t="s">
        <v>113</v>
      </c>
    </row>
    <row r="42" spans="1:7" ht="17.399999999999999">
      <c r="A42" s="316">
        <f>+A33+1</f>
        <v>5</v>
      </c>
      <c r="B42" s="317"/>
      <c r="C42" s="334" t="s">
        <v>646</v>
      </c>
      <c r="D42" s="334"/>
      <c r="E42" s="340"/>
      <c r="F42" s="335"/>
      <c r="G42" s="354" t="s">
        <v>113</v>
      </c>
    </row>
    <row r="43" spans="1:7" ht="17.399999999999999">
      <c r="A43" s="316"/>
      <c r="B43" s="317"/>
      <c r="C43" s="334"/>
      <c r="D43" s="334"/>
      <c r="E43" s="548">
        <v>2535</v>
      </c>
      <c r="F43" s="339" t="s">
        <v>647</v>
      </c>
      <c r="G43" s="354" t="s">
        <v>369</v>
      </c>
    </row>
    <row r="44" spans="1:7" ht="17.399999999999999">
      <c r="A44" s="316"/>
      <c r="B44" s="317"/>
      <c r="C44" s="334"/>
      <c r="D44" s="334"/>
      <c r="E44" s="548">
        <v>16972269</v>
      </c>
      <c r="F44" s="339" t="s">
        <v>1233</v>
      </c>
      <c r="G44" s="354" t="s">
        <v>369</v>
      </c>
    </row>
    <row r="45" spans="1:7" ht="17.399999999999999">
      <c r="A45" s="316"/>
      <c r="B45" s="317"/>
      <c r="C45" s="334"/>
      <c r="D45" s="334"/>
      <c r="E45" s="548">
        <v>-19373</v>
      </c>
      <c r="F45" s="339" t="s">
        <v>1234</v>
      </c>
      <c r="G45" s="354" t="s">
        <v>369</v>
      </c>
    </row>
    <row r="46" spans="1:7" ht="17.399999999999999">
      <c r="A46" s="316"/>
      <c r="B46" s="317"/>
      <c r="C46" s="334"/>
      <c r="D46" s="334"/>
      <c r="E46" s="548">
        <v>226643</v>
      </c>
      <c r="F46" s="339" t="s">
        <v>1235</v>
      </c>
      <c r="G46" s="354" t="s">
        <v>369</v>
      </c>
    </row>
    <row r="47" spans="1:7" ht="17.399999999999999">
      <c r="A47" s="316"/>
      <c r="B47" s="317"/>
      <c r="C47" s="334"/>
      <c r="D47" s="334"/>
      <c r="E47" s="548" t="s">
        <v>113</v>
      </c>
      <c r="F47" s="339" t="s">
        <v>113</v>
      </c>
      <c r="G47" s="354" t="s">
        <v>113</v>
      </c>
    </row>
    <row r="48" spans="1:7" ht="17.399999999999999">
      <c r="A48" s="316"/>
      <c r="B48" s="317"/>
      <c r="C48" s="334"/>
      <c r="D48" s="334"/>
      <c r="E48" s="548" t="s">
        <v>113</v>
      </c>
      <c r="F48" s="339" t="s">
        <v>113</v>
      </c>
      <c r="G48" s="354" t="s">
        <v>113</v>
      </c>
    </row>
    <row r="49" spans="1:7" ht="17.399999999999999">
      <c r="A49" s="316"/>
      <c r="B49" s="317"/>
      <c r="C49" s="334"/>
      <c r="D49" s="334"/>
      <c r="E49" s="338" t="s">
        <v>113</v>
      </c>
      <c r="F49" s="339" t="s">
        <v>113</v>
      </c>
      <c r="G49" s="354" t="s">
        <v>113</v>
      </c>
    </row>
    <row r="50" spans="1:7" ht="17.399999999999999">
      <c r="A50" s="316"/>
      <c r="B50" s="317"/>
      <c r="C50" s="334"/>
      <c r="D50" s="334"/>
      <c r="E50" s="338" t="s">
        <v>113</v>
      </c>
      <c r="F50" s="339" t="s">
        <v>113</v>
      </c>
      <c r="G50" s="354"/>
    </row>
    <row r="51" spans="1:7" ht="17.399999999999999">
      <c r="A51" s="316"/>
      <c r="B51" s="317"/>
      <c r="C51" s="334"/>
      <c r="D51" s="334"/>
      <c r="E51" s="338" t="s">
        <v>113</v>
      </c>
      <c r="F51" s="339" t="s">
        <v>113</v>
      </c>
      <c r="G51" s="354" t="s">
        <v>113</v>
      </c>
    </row>
    <row r="52" spans="1:7" ht="17.399999999999999">
      <c r="A52" s="316">
        <f>+A42+1</f>
        <v>6</v>
      </c>
      <c r="B52" s="317"/>
      <c r="C52" s="334" t="s">
        <v>648</v>
      </c>
      <c r="D52" s="334"/>
      <c r="E52" s="335"/>
      <c r="F52" s="262"/>
      <c r="G52" s="354" t="s">
        <v>113</v>
      </c>
    </row>
    <row r="53" spans="1:7" ht="17.399999999999999">
      <c r="A53" s="316"/>
      <c r="B53" s="317"/>
      <c r="C53" s="334"/>
      <c r="D53" s="334"/>
      <c r="E53" s="548">
        <v>16310</v>
      </c>
      <c r="F53" s="339" t="s">
        <v>1097</v>
      </c>
      <c r="G53" s="354" t="s">
        <v>369</v>
      </c>
    </row>
    <row r="54" spans="1:7" ht="17.399999999999999">
      <c r="A54" s="316"/>
      <c r="B54" s="317"/>
      <c r="C54" s="334"/>
      <c r="D54" s="334"/>
      <c r="E54" s="548">
        <v>1160576</v>
      </c>
      <c r="F54" s="339" t="s">
        <v>1236</v>
      </c>
      <c r="G54" s="354" t="s">
        <v>369</v>
      </c>
    </row>
    <row r="55" spans="1:7" ht="17.399999999999999">
      <c r="A55" s="316">
        <f>+A52+1</f>
        <v>7</v>
      </c>
      <c r="B55" s="317"/>
      <c r="C55" s="334" t="s">
        <v>649</v>
      </c>
      <c r="D55" s="341"/>
      <c r="E55" s="342"/>
      <c r="F55" s="262"/>
      <c r="G55" s="354" t="s">
        <v>113</v>
      </c>
    </row>
    <row r="56" spans="1:7" ht="17.399999999999999">
      <c r="A56" s="316"/>
      <c r="B56" s="317"/>
      <c r="C56" s="334"/>
      <c r="D56" s="341"/>
      <c r="E56" s="548">
        <v>105195</v>
      </c>
      <c r="F56" s="339" t="s">
        <v>1237</v>
      </c>
      <c r="G56" s="354" t="s">
        <v>369</v>
      </c>
    </row>
    <row r="57" spans="1:7" ht="17.399999999999999">
      <c r="A57" s="316"/>
      <c r="B57" s="317"/>
      <c r="C57" s="334"/>
      <c r="D57" s="341"/>
      <c r="E57" s="548">
        <v>1414855</v>
      </c>
      <c r="F57" s="339" t="s">
        <v>1098</v>
      </c>
      <c r="G57" s="354" t="s">
        <v>369</v>
      </c>
    </row>
    <row r="58" spans="1:7" ht="17.399999999999999">
      <c r="A58" s="316"/>
      <c r="B58" s="317"/>
      <c r="C58" s="343"/>
      <c r="D58" s="317"/>
      <c r="E58" s="548">
        <v>0</v>
      </c>
      <c r="F58" s="339" t="s">
        <v>113</v>
      </c>
      <c r="G58" s="354" t="s">
        <v>113</v>
      </c>
    </row>
    <row r="59" spans="1:7" ht="17.399999999999999">
      <c r="A59" s="316">
        <f>+A55+1</f>
        <v>8</v>
      </c>
      <c r="B59" s="317"/>
      <c r="C59" s="332" t="s">
        <v>98</v>
      </c>
      <c r="D59" s="317"/>
      <c r="E59" s="344"/>
      <c r="F59" s="335"/>
      <c r="G59" s="92"/>
    </row>
    <row r="60" spans="1:7" ht="17.399999999999999">
      <c r="A60" s="316">
        <f>+A59+1</f>
        <v>9</v>
      </c>
      <c r="B60" s="317"/>
      <c r="C60" s="334" t="s">
        <v>650</v>
      </c>
      <c r="D60" s="317"/>
      <c r="E60" s="335"/>
      <c r="F60" s="335"/>
      <c r="G60" s="92"/>
    </row>
    <row r="61" spans="1:7" ht="17.399999999999999">
      <c r="A61" s="316"/>
      <c r="B61" s="317"/>
      <c r="C61" s="334"/>
      <c r="D61" s="317"/>
      <c r="E61" s="548">
        <v>8183031</v>
      </c>
      <c r="F61" s="339" t="s">
        <v>95</v>
      </c>
      <c r="G61" s="354" t="s">
        <v>306</v>
      </c>
    </row>
    <row r="62" spans="1:7" ht="17.399999999999999">
      <c r="B62" s="317"/>
      <c r="D62" s="317"/>
      <c r="E62" s="335"/>
      <c r="F62" s="335"/>
      <c r="G62" s="92"/>
    </row>
    <row r="63" spans="1:7" ht="17.399999999999999">
      <c r="B63" s="88"/>
      <c r="D63" s="298" t="s">
        <v>113</v>
      </c>
      <c r="G63" s="385" t="s">
        <v>931</v>
      </c>
    </row>
    <row r="64" spans="1:7" ht="17.399999999999999">
      <c r="A64" s="738" t="s">
        <v>625</v>
      </c>
      <c r="B64" s="738"/>
      <c r="C64" s="738"/>
      <c r="D64" s="735"/>
      <c r="E64" s="735"/>
      <c r="F64" s="735"/>
      <c r="G64" s="735"/>
    </row>
    <row r="65" spans="1:7" ht="17.399999999999999">
      <c r="A65" s="739" t="s">
        <v>605</v>
      </c>
      <c r="B65" s="739"/>
      <c r="C65" s="739"/>
      <c r="D65" s="735"/>
      <c r="E65" s="735"/>
      <c r="F65" s="735"/>
      <c r="G65" s="735"/>
    </row>
    <row r="66" spans="1:7" ht="17.399999999999999">
      <c r="A66" s="734" t="s">
        <v>46</v>
      </c>
      <c r="B66" s="734"/>
      <c r="C66" s="734"/>
      <c r="D66" s="735"/>
      <c r="E66" s="735"/>
      <c r="F66" s="735"/>
      <c r="G66" s="735"/>
    </row>
    <row r="67" spans="1:7" ht="17.399999999999999">
      <c r="A67" s="736" t="s">
        <v>1175</v>
      </c>
      <c r="B67" s="736"/>
      <c r="C67" s="737"/>
      <c r="D67" s="735"/>
      <c r="E67" s="735"/>
      <c r="F67" s="735"/>
      <c r="G67" s="735"/>
    </row>
    <row r="68" spans="1:7" ht="17.399999999999999">
      <c r="A68" s="386"/>
      <c r="B68" s="386"/>
      <c r="C68" s="387"/>
      <c r="D68" s="384"/>
      <c r="E68" s="384"/>
      <c r="F68" s="384"/>
      <c r="G68" s="384"/>
    </row>
    <row r="69" spans="1:7" ht="17.399999999999999">
      <c r="A69" s="316"/>
      <c r="B69" s="317"/>
      <c r="C69" s="318" t="s">
        <v>636</v>
      </c>
      <c r="D69" s="319"/>
      <c r="E69" s="320" t="s">
        <v>911</v>
      </c>
      <c r="F69" s="320" t="s">
        <v>637</v>
      </c>
      <c r="G69" s="320" t="s">
        <v>638</v>
      </c>
    </row>
    <row r="70" spans="1:7" ht="17.399999999999999">
      <c r="A70" s="321"/>
      <c r="B70" s="322"/>
      <c r="C70" s="322"/>
      <c r="D70" s="322"/>
      <c r="E70" s="255"/>
      <c r="F70" s="323"/>
    </row>
    <row r="71" spans="1:7" ht="17.399999999999999">
      <c r="A71" s="321" t="s">
        <v>129</v>
      </c>
      <c r="B71" s="322"/>
      <c r="C71" s="322"/>
      <c r="D71" s="322"/>
      <c r="E71" s="324" t="s">
        <v>639</v>
      </c>
      <c r="F71" s="325"/>
    </row>
    <row r="72" spans="1:7" ht="17.399999999999999">
      <c r="A72" s="326" t="s">
        <v>640</v>
      </c>
      <c r="B72" s="327"/>
      <c r="C72" s="326" t="s">
        <v>699</v>
      </c>
      <c r="D72" s="327"/>
      <c r="E72" s="326" t="s">
        <v>641</v>
      </c>
      <c r="F72" s="328" t="s">
        <v>642</v>
      </c>
      <c r="G72" s="328" t="s">
        <v>372</v>
      </c>
    </row>
    <row r="73" spans="1:7" ht="17.399999999999999">
      <c r="A73" s="324"/>
      <c r="B73" s="376"/>
      <c r="C73" s="324"/>
      <c r="D73" s="376"/>
      <c r="E73" s="324"/>
      <c r="F73" s="331"/>
      <c r="G73" s="355"/>
    </row>
    <row r="74" spans="1:7" ht="17.399999999999999">
      <c r="A74" s="316">
        <f>+A60+1</f>
        <v>10</v>
      </c>
      <c r="B74" s="317"/>
      <c r="C74" s="334" t="s">
        <v>534</v>
      </c>
      <c r="D74" s="317"/>
      <c r="E74" s="548">
        <v>57237</v>
      </c>
      <c r="F74" s="339" t="s">
        <v>651</v>
      </c>
      <c r="G74" s="354" t="s">
        <v>306</v>
      </c>
    </row>
    <row r="75" spans="1:7" ht="17.399999999999999">
      <c r="A75" s="316"/>
      <c r="B75" s="317"/>
      <c r="C75" s="334"/>
      <c r="D75" s="317"/>
      <c r="E75" s="550"/>
      <c r="F75" s="549"/>
      <c r="G75" s="354"/>
    </row>
    <row r="76" spans="1:7" ht="17.399999999999999">
      <c r="A76" s="316">
        <f>+A74+1</f>
        <v>11</v>
      </c>
      <c r="B76" s="317"/>
      <c r="C76" s="334" t="s">
        <v>535</v>
      </c>
      <c r="D76" s="317"/>
      <c r="E76" s="335"/>
      <c r="F76" s="335"/>
      <c r="G76" s="354" t="s">
        <v>113</v>
      </c>
    </row>
    <row r="77" spans="1:7" ht="17.399999999999999">
      <c r="A77" s="316" t="s">
        <v>113</v>
      </c>
      <c r="B77" s="317"/>
      <c r="C77" s="333"/>
      <c r="D77" s="317"/>
      <c r="E77" s="548">
        <v>138054</v>
      </c>
      <c r="F77" s="339" t="s">
        <v>1238</v>
      </c>
      <c r="G77" s="354" t="s">
        <v>306</v>
      </c>
    </row>
    <row r="78" spans="1:7" ht="17.399999999999999">
      <c r="A78" s="316"/>
      <c r="B78" s="317"/>
      <c r="C78" s="333"/>
      <c r="D78" s="317"/>
      <c r="E78" s="548">
        <v>4269</v>
      </c>
      <c r="F78" s="339" t="s">
        <v>1239</v>
      </c>
      <c r="G78" s="354" t="s">
        <v>306</v>
      </c>
    </row>
    <row r="79" spans="1:7" ht="17.399999999999999">
      <c r="A79" s="316"/>
      <c r="B79" s="317"/>
      <c r="C79" s="333"/>
      <c r="D79" s="317"/>
      <c r="E79" s="548">
        <v>17912</v>
      </c>
      <c r="F79" s="339" t="s">
        <v>1240</v>
      </c>
      <c r="G79" s="354" t="s">
        <v>306</v>
      </c>
    </row>
    <row r="80" spans="1:7" ht="17.399999999999999">
      <c r="A80" s="316"/>
      <c r="B80" s="317"/>
      <c r="C80" s="333"/>
      <c r="D80" s="317"/>
      <c r="E80" s="548">
        <v>1</v>
      </c>
      <c r="F80" s="339" t="s">
        <v>1241</v>
      </c>
      <c r="G80" s="354" t="s">
        <v>306</v>
      </c>
    </row>
    <row r="81" spans="1:7" ht="17.399999999999999">
      <c r="A81" s="316">
        <f>A76+1</f>
        <v>12</v>
      </c>
      <c r="B81" s="317"/>
      <c r="C81" s="332" t="s">
        <v>99</v>
      </c>
      <c r="D81" s="317"/>
      <c r="E81" s="548">
        <v>88</v>
      </c>
      <c r="F81" s="339" t="s">
        <v>1242</v>
      </c>
      <c r="G81" s="354" t="s">
        <v>306</v>
      </c>
    </row>
    <row r="82" spans="1:7" ht="17.399999999999999">
      <c r="A82" s="316">
        <f>A81+1</f>
        <v>13</v>
      </c>
      <c r="B82" s="317"/>
      <c r="C82" s="335" t="s">
        <v>652</v>
      </c>
      <c r="D82" s="341"/>
      <c r="E82" s="262"/>
      <c r="F82" s="549"/>
      <c r="G82" s="92"/>
    </row>
    <row r="83" spans="1:7" ht="17.399999999999999">
      <c r="A83" s="316"/>
      <c r="B83" s="317"/>
      <c r="C83" s="333"/>
      <c r="D83" s="317"/>
      <c r="E83" s="338">
        <v>0</v>
      </c>
      <c r="F83" s="335"/>
      <c r="G83" s="92"/>
    </row>
    <row r="84" spans="1:7" ht="17.399999999999999">
      <c r="A84" s="345">
        <f>A82+1</f>
        <v>14</v>
      </c>
      <c r="B84" s="346"/>
      <c r="C84" s="332" t="s">
        <v>100</v>
      </c>
      <c r="D84" s="347"/>
      <c r="E84" s="337"/>
      <c r="F84" s="335"/>
      <c r="G84" s="92"/>
    </row>
    <row r="85" spans="1:7" ht="17.399999999999999">
      <c r="A85" s="345">
        <f>A84+1</f>
        <v>15</v>
      </c>
      <c r="B85" s="346"/>
      <c r="C85" s="333" t="s">
        <v>653</v>
      </c>
      <c r="D85" s="347"/>
      <c r="E85" s="335"/>
      <c r="F85" s="335"/>
      <c r="G85" s="92"/>
    </row>
    <row r="86" spans="1:7" ht="17.399999999999999">
      <c r="A86" s="345"/>
      <c r="B86" s="346"/>
      <c r="C86" s="333"/>
      <c r="D86" s="347"/>
      <c r="E86" s="548">
        <v>70958</v>
      </c>
      <c r="F86" s="339" t="s">
        <v>978</v>
      </c>
      <c r="G86" s="354" t="s">
        <v>105</v>
      </c>
    </row>
    <row r="87" spans="1:7" ht="17.399999999999999">
      <c r="A87" s="345"/>
      <c r="B87" s="346"/>
      <c r="C87" s="333"/>
      <c r="D87" s="347"/>
      <c r="E87" s="548">
        <v>21977084</v>
      </c>
      <c r="F87" s="339" t="s">
        <v>654</v>
      </c>
      <c r="G87" s="354" t="s">
        <v>105</v>
      </c>
    </row>
    <row r="88" spans="1:7" ht="17.399999999999999">
      <c r="A88" s="345"/>
      <c r="B88" s="346"/>
      <c r="C88" s="333"/>
      <c r="D88" s="347"/>
      <c r="E88" s="338" t="s">
        <v>113</v>
      </c>
      <c r="F88" s="339" t="s">
        <v>113</v>
      </c>
      <c r="G88" s="354" t="s">
        <v>113</v>
      </c>
    </row>
    <row r="89" spans="1:7" ht="17.399999999999999">
      <c r="A89" s="316">
        <f>A85+1</f>
        <v>16</v>
      </c>
      <c r="B89" s="317"/>
      <c r="C89" s="333" t="s">
        <v>536</v>
      </c>
      <c r="D89" s="317"/>
      <c r="E89" s="335"/>
      <c r="F89" s="335"/>
      <c r="G89" s="92"/>
    </row>
    <row r="90" spans="1:7" ht="17.399999999999999">
      <c r="A90" s="316"/>
      <c r="B90" s="317"/>
      <c r="C90" s="333"/>
      <c r="D90" s="317"/>
      <c r="E90" s="551">
        <v>2059360</v>
      </c>
      <c r="F90" s="339" t="s">
        <v>979</v>
      </c>
      <c r="G90" s="354" t="s">
        <v>109</v>
      </c>
    </row>
    <row r="91" spans="1:7" ht="17.399999999999999">
      <c r="A91" s="316"/>
      <c r="B91" s="317"/>
      <c r="C91" s="333"/>
      <c r="D91" s="317"/>
      <c r="E91" s="551">
        <v>3593010</v>
      </c>
      <c r="F91" s="339" t="s">
        <v>655</v>
      </c>
      <c r="G91" s="354" t="s">
        <v>109</v>
      </c>
    </row>
    <row r="92" spans="1:7" ht="17.399999999999999">
      <c r="A92" s="316">
        <f>+A89+1</f>
        <v>17</v>
      </c>
      <c r="B92" s="317"/>
      <c r="C92" s="333" t="s">
        <v>537</v>
      </c>
      <c r="D92"/>
      <c r="E92" s="335"/>
      <c r="F92" s="335"/>
      <c r="G92" s="92"/>
    </row>
    <row r="93" spans="1:7" ht="17.399999999999999">
      <c r="A93" s="316"/>
      <c r="B93" s="317"/>
      <c r="C93" s="333"/>
      <c r="D93"/>
      <c r="E93" s="551">
        <v>20345</v>
      </c>
      <c r="F93" s="339" t="s">
        <v>1243</v>
      </c>
      <c r="G93" s="354" t="s">
        <v>109</v>
      </c>
    </row>
    <row r="94" spans="1:7" ht="17.399999999999999">
      <c r="A94" s="316"/>
      <c r="B94" s="317"/>
      <c r="C94" s="333"/>
      <c r="D94"/>
      <c r="E94" s="551">
        <v>-577925</v>
      </c>
      <c r="F94" s="339" t="s">
        <v>980</v>
      </c>
      <c r="G94" s="354" t="s">
        <v>109</v>
      </c>
    </row>
    <row r="95" spans="1:7" ht="17.399999999999999">
      <c r="A95" s="316"/>
      <c r="B95" s="317"/>
      <c r="C95" s="333"/>
      <c r="D95"/>
      <c r="E95" s="551">
        <v>10704000</v>
      </c>
      <c r="F95" s="339" t="s">
        <v>1244</v>
      </c>
      <c r="G95" s="354" t="s">
        <v>109</v>
      </c>
    </row>
    <row r="96" spans="1:7" ht="17.399999999999999">
      <c r="A96" s="316"/>
      <c r="B96" s="317"/>
      <c r="C96" s="333"/>
      <c r="D96"/>
      <c r="E96" s="551">
        <v>43951</v>
      </c>
      <c r="F96" s="339" t="s">
        <v>1108</v>
      </c>
      <c r="G96" s="354" t="s">
        <v>109</v>
      </c>
    </row>
    <row r="97" spans="1:7" ht="17.399999999999999">
      <c r="A97" s="316"/>
      <c r="B97" s="317"/>
      <c r="C97" s="333"/>
      <c r="D97"/>
      <c r="E97" s="551">
        <v>205000</v>
      </c>
      <c r="F97" s="339" t="s">
        <v>1245</v>
      </c>
      <c r="G97" s="354" t="s">
        <v>109</v>
      </c>
    </row>
    <row r="98" spans="1:7" ht="17.399999999999999">
      <c r="A98" s="316"/>
      <c r="B98" s="317"/>
      <c r="C98" s="333"/>
      <c r="D98"/>
      <c r="E98" s="548">
        <v>0</v>
      </c>
      <c r="F98" s="339" t="s">
        <v>113</v>
      </c>
      <c r="G98" s="354" t="s">
        <v>113</v>
      </c>
    </row>
    <row r="99" spans="1:7" ht="17.399999999999999">
      <c r="A99" s="316"/>
      <c r="B99" s="317"/>
      <c r="C99" s="333"/>
      <c r="D99"/>
      <c r="E99" s="348">
        <v>0</v>
      </c>
      <c r="F99" s="339" t="s">
        <v>113</v>
      </c>
      <c r="G99" s="354" t="s">
        <v>113</v>
      </c>
    </row>
    <row r="100" spans="1:7" ht="17.399999999999999">
      <c r="A100" s="316"/>
      <c r="B100" s="317"/>
      <c r="C100" s="333"/>
      <c r="D100"/>
      <c r="E100" s="348">
        <v>0</v>
      </c>
      <c r="F100" s="339" t="s">
        <v>113</v>
      </c>
      <c r="G100" s="354" t="s">
        <v>113</v>
      </c>
    </row>
    <row r="101" spans="1:7" ht="17.399999999999999">
      <c r="A101" s="316"/>
      <c r="B101" s="317"/>
      <c r="C101" s="333"/>
      <c r="D101"/>
      <c r="E101" s="348" t="s">
        <v>113</v>
      </c>
      <c r="F101" s="339" t="s">
        <v>113</v>
      </c>
      <c r="G101" s="354" t="s">
        <v>113</v>
      </c>
    </row>
    <row r="102" spans="1:7" ht="17.399999999999999">
      <c r="A102" s="316"/>
      <c r="B102" s="317"/>
      <c r="C102" s="333"/>
      <c r="D102"/>
      <c r="E102" s="348" t="s">
        <v>113</v>
      </c>
      <c r="F102" s="339" t="s">
        <v>113</v>
      </c>
      <c r="G102" s="354" t="s">
        <v>113</v>
      </c>
    </row>
    <row r="103" spans="1:7" ht="17.399999999999999">
      <c r="A103" s="316">
        <f>+A92+1</f>
        <v>18</v>
      </c>
      <c r="B103" s="317"/>
      <c r="C103" s="333" t="s">
        <v>538</v>
      </c>
      <c r="D103"/>
      <c r="E103" s="335"/>
      <c r="F103" s="335"/>
      <c r="G103" s="354" t="s">
        <v>113</v>
      </c>
    </row>
    <row r="104" spans="1:7" ht="17.399999999999999">
      <c r="A104" s="316"/>
      <c r="B104" s="317"/>
      <c r="C104" s="333"/>
      <c r="D104"/>
      <c r="E104" s="551">
        <v>571</v>
      </c>
      <c r="F104" s="339" t="s">
        <v>1246</v>
      </c>
      <c r="G104" s="354" t="s">
        <v>109</v>
      </c>
    </row>
    <row r="105" spans="1:7" ht="17.399999999999999">
      <c r="A105" s="316"/>
      <c r="B105" s="317"/>
      <c r="C105" s="333"/>
      <c r="D105"/>
      <c r="E105" s="551">
        <v>65</v>
      </c>
      <c r="F105" s="339" t="s">
        <v>1099</v>
      </c>
      <c r="G105" s="354" t="s">
        <v>109</v>
      </c>
    </row>
    <row r="106" spans="1:7" ht="17.399999999999999">
      <c r="A106" s="316"/>
      <c r="B106" s="317"/>
      <c r="C106" s="333"/>
      <c r="D106"/>
      <c r="E106" s="551">
        <v>1700</v>
      </c>
      <c r="F106" s="339" t="s">
        <v>1247</v>
      </c>
      <c r="G106" s="354" t="s">
        <v>109</v>
      </c>
    </row>
    <row r="107" spans="1:7" ht="17.399999999999999">
      <c r="A107" s="316"/>
      <c r="B107" s="317"/>
      <c r="C107" s="333"/>
      <c r="D107"/>
      <c r="E107" s="551">
        <v>600</v>
      </c>
      <c r="F107" s="339" t="s">
        <v>1248</v>
      </c>
      <c r="G107" s="354" t="s">
        <v>109</v>
      </c>
    </row>
    <row r="108" spans="1:7" ht="17.399999999999999">
      <c r="A108" s="316"/>
      <c r="B108" s="317"/>
      <c r="C108" s="333"/>
      <c r="D108"/>
      <c r="E108" s="551">
        <v>-25</v>
      </c>
      <c r="F108" s="339" t="s">
        <v>1249</v>
      </c>
      <c r="G108" s="354" t="s">
        <v>109</v>
      </c>
    </row>
    <row r="109" spans="1:7" ht="17.399999999999999">
      <c r="A109" s="316"/>
      <c r="B109" s="317"/>
      <c r="C109" s="333"/>
      <c r="D109"/>
      <c r="E109" s="551">
        <v>21</v>
      </c>
      <c r="F109" s="339" t="s">
        <v>1250</v>
      </c>
      <c r="G109" s="354" t="s">
        <v>109</v>
      </c>
    </row>
    <row r="110" spans="1:7" ht="17.399999999999999">
      <c r="A110" s="316"/>
      <c r="B110" s="317"/>
      <c r="C110" s="333"/>
      <c r="D110"/>
      <c r="E110" s="551">
        <v>20</v>
      </c>
      <c r="F110" s="339" t="s">
        <v>1251</v>
      </c>
      <c r="G110" s="354" t="s">
        <v>109</v>
      </c>
    </row>
    <row r="111" spans="1:7" ht="17.399999999999999">
      <c r="A111" s="316"/>
      <c r="B111" s="317"/>
      <c r="C111" s="333"/>
      <c r="D111"/>
      <c r="E111" s="551">
        <v>15</v>
      </c>
      <c r="F111" s="339" t="s">
        <v>1252</v>
      </c>
      <c r="G111" s="354" t="s">
        <v>109</v>
      </c>
    </row>
    <row r="112" spans="1:7" ht="17.399999999999999">
      <c r="A112" s="316">
        <f>+A103+1</f>
        <v>19</v>
      </c>
      <c r="B112" s="317"/>
      <c r="C112" s="333" t="s">
        <v>656</v>
      </c>
      <c r="D112" s="317"/>
      <c r="E112" s="335"/>
      <c r="F112" s="335"/>
      <c r="G112" s="354" t="s">
        <v>113</v>
      </c>
    </row>
    <row r="113" spans="1:7" ht="17.399999999999999">
      <c r="A113" s="316"/>
      <c r="B113" s="317"/>
      <c r="C113" s="333"/>
      <c r="D113" s="317"/>
      <c r="E113" s="551">
        <v>100</v>
      </c>
      <c r="F113" s="339" t="s">
        <v>1253</v>
      </c>
      <c r="G113" s="354" t="s">
        <v>109</v>
      </c>
    </row>
    <row r="114" spans="1:7" ht="17.399999999999999">
      <c r="A114" s="316"/>
      <c r="B114" s="317"/>
      <c r="C114" s="333"/>
      <c r="D114" s="317"/>
      <c r="E114" s="551">
        <v>0</v>
      </c>
      <c r="F114" s="339" t="s">
        <v>113</v>
      </c>
      <c r="G114" s="354" t="s">
        <v>113</v>
      </c>
    </row>
    <row r="115" spans="1:7" ht="17.399999999999999">
      <c r="A115" s="316"/>
      <c r="B115" s="317"/>
      <c r="C115" s="333"/>
      <c r="D115" s="317"/>
      <c r="E115" s="348">
        <v>0</v>
      </c>
      <c r="F115" s="339" t="s">
        <v>113</v>
      </c>
      <c r="G115" s="354" t="s">
        <v>113</v>
      </c>
    </row>
    <row r="116" spans="1:7" ht="17.399999999999999">
      <c r="A116" s="316">
        <f>+A112+1</f>
        <v>20</v>
      </c>
      <c r="B116" s="317"/>
      <c r="C116" s="333" t="s">
        <v>539</v>
      </c>
      <c r="D116" s="317"/>
      <c r="E116" s="335"/>
      <c r="F116" s="335"/>
      <c r="G116" s="354" t="s">
        <v>113</v>
      </c>
    </row>
    <row r="117" spans="1:7" ht="17.399999999999999">
      <c r="A117" s="316"/>
      <c r="B117" s="317"/>
      <c r="C117" s="333"/>
      <c r="D117" s="317"/>
      <c r="E117" s="551">
        <v>5</v>
      </c>
      <c r="F117" s="339" t="s">
        <v>1254</v>
      </c>
      <c r="G117" s="354" t="s">
        <v>109</v>
      </c>
    </row>
    <row r="118" spans="1:7" ht="17.399999999999999">
      <c r="A118" s="316"/>
      <c r="B118" s="317"/>
      <c r="C118" s="333"/>
      <c r="D118" s="317"/>
      <c r="E118" s="348">
        <v>-218465</v>
      </c>
      <c r="F118" s="339" t="s">
        <v>1100</v>
      </c>
      <c r="G118" s="354" t="s">
        <v>109</v>
      </c>
    </row>
    <row r="119" spans="1:7" ht="17.399999999999999">
      <c r="A119" s="316"/>
      <c r="B119" s="317"/>
      <c r="C119" s="333"/>
      <c r="D119" s="317"/>
      <c r="E119" s="348" t="s">
        <v>113</v>
      </c>
      <c r="F119" s="339" t="s">
        <v>113</v>
      </c>
      <c r="G119" s="354" t="s">
        <v>113</v>
      </c>
    </row>
    <row r="120" spans="1:7" ht="17.399999999999999">
      <c r="A120" s="316"/>
      <c r="B120" s="317"/>
      <c r="C120" s="333"/>
      <c r="D120" s="317"/>
      <c r="E120" s="348" t="s">
        <v>113</v>
      </c>
      <c r="F120" s="339" t="s">
        <v>113</v>
      </c>
      <c r="G120" s="354" t="s">
        <v>113</v>
      </c>
    </row>
    <row r="121" spans="1:7" ht="17.399999999999999">
      <c r="A121" s="316"/>
      <c r="B121" s="317"/>
      <c r="C121" s="333"/>
      <c r="D121" s="317"/>
      <c r="E121" s="348" t="s">
        <v>113</v>
      </c>
      <c r="F121" s="339" t="s">
        <v>113</v>
      </c>
      <c r="G121" s="354" t="s">
        <v>113</v>
      </c>
    </row>
    <row r="122" spans="1:7" ht="17.399999999999999">
      <c r="A122" s="316"/>
      <c r="B122" s="317"/>
      <c r="C122" s="333"/>
      <c r="D122" s="317"/>
      <c r="E122" s="348" t="s">
        <v>113</v>
      </c>
      <c r="F122" s="339" t="s">
        <v>113</v>
      </c>
      <c r="G122" s="354"/>
    </row>
    <row r="123" spans="1:7" ht="17.399999999999999">
      <c r="A123" s="316">
        <f>+A116+1</f>
        <v>21</v>
      </c>
      <c r="B123" s="333"/>
      <c r="C123" s="333" t="s">
        <v>540</v>
      </c>
      <c r="D123" s="333"/>
      <c r="E123" s="349"/>
      <c r="F123" s="335"/>
      <c r="G123" s="354" t="s">
        <v>113</v>
      </c>
    </row>
    <row r="124" spans="1:7" ht="17.399999999999999">
      <c r="A124" s="316"/>
      <c r="B124" s="333"/>
      <c r="C124" s="333"/>
      <c r="D124" s="333"/>
      <c r="E124" s="551">
        <v>240</v>
      </c>
      <c r="F124" s="339" t="s">
        <v>1101</v>
      </c>
      <c r="G124" s="354" t="s">
        <v>105</v>
      </c>
    </row>
    <row r="125" spans="1:7" ht="17.399999999999999">
      <c r="A125" s="316"/>
      <c r="B125" s="333"/>
      <c r="C125" s="333"/>
      <c r="D125" s="333"/>
      <c r="E125" s="551">
        <v>12802</v>
      </c>
      <c r="F125" s="339" t="s">
        <v>94</v>
      </c>
      <c r="G125" s="354" t="s">
        <v>105</v>
      </c>
    </row>
    <row r="126" spans="1:7" ht="17.399999999999999">
      <c r="A126" s="316">
        <f>+A123+1</f>
        <v>22</v>
      </c>
      <c r="B126" s="333"/>
      <c r="C126" s="350" t="s">
        <v>657</v>
      </c>
      <c r="D126" s="335"/>
      <c r="E126" s="262"/>
      <c r="F126" s="335"/>
      <c r="G126" s="92"/>
    </row>
    <row r="127" spans="1:7" ht="17.399999999999999">
      <c r="A127" s="316"/>
      <c r="B127" s="333"/>
      <c r="C127" s="351"/>
      <c r="D127" s="335"/>
      <c r="E127" s="338">
        <v>0</v>
      </c>
      <c r="F127" s="339"/>
      <c r="G127" s="92"/>
    </row>
    <row r="128" spans="1:7" ht="16.2">
      <c r="A128" s="352"/>
      <c r="B128" s="253"/>
      <c r="C128" s="253"/>
      <c r="D128"/>
      <c r="E128" s="349"/>
      <c r="F128" s="335"/>
    </row>
    <row r="129" spans="1:6" ht="18" thickBot="1">
      <c r="A129" s="345">
        <f>+A126+1</f>
        <v>23</v>
      </c>
      <c r="B129" s="253"/>
      <c r="C129" s="333" t="s">
        <v>658</v>
      </c>
      <c r="D129"/>
      <c r="E129" s="353">
        <f>SUM(E26:E127)</f>
        <v>123237102</v>
      </c>
      <c r="F129" s="335"/>
    </row>
    <row r="130" spans="1:6" ht="16.8" thickTop="1">
      <c r="A130" s="352"/>
      <c r="B130" s="253"/>
      <c r="C130" s="333" t="s">
        <v>659</v>
      </c>
      <c r="D130"/>
      <c r="E130" s="340"/>
      <c r="F130" s="340"/>
    </row>
  </sheetData>
  <mergeCells count="8">
    <mergeCell ref="A66:G66"/>
    <mergeCell ref="A67:G67"/>
    <mergeCell ref="A2:G2"/>
    <mergeCell ref="A3:G3"/>
    <mergeCell ref="A4:G4"/>
    <mergeCell ref="A5:G5"/>
    <mergeCell ref="A64:G64"/>
    <mergeCell ref="A65:G65"/>
  </mergeCells>
  <phoneticPr fontId="2" type="noConversion"/>
  <pageMargins left="0.5" right="0.5" top="0.5" bottom="0.5" header="0.5" footer="0.25"/>
  <pageSetup scale="64" fitToHeight="2" orientation="portrait" r:id="rId1"/>
  <headerFooter alignWithMargins="0">
    <oddFooter>&amp;C&amp;A</oddFooter>
  </headerFooter>
  <rowBreaks count="1" manualBreakCount="1">
    <brk id="62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</sheetPr>
  <dimension ref="A1:F41"/>
  <sheetViews>
    <sheetView showGridLines="0" view="pageBreakPreview" zoomScale="60" zoomScaleNormal="100" workbookViewId="0">
      <selection activeCell="E22" sqref="E22"/>
    </sheetView>
  </sheetViews>
  <sheetFormatPr defaultColWidth="9.109375" defaultRowHeight="13.2"/>
  <cols>
    <col min="1" max="1" width="31.88671875" style="7" customWidth="1"/>
    <col min="2" max="2" width="23.33203125" style="7" customWidth="1"/>
    <col min="3" max="3" width="16.6640625" style="183" customWidth="1"/>
    <col min="4" max="4" width="18.88671875" style="7" customWidth="1"/>
    <col min="5" max="5" width="21.33203125" style="7" customWidth="1"/>
    <col min="6" max="6" width="7.33203125" style="7" customWidth="1"/>
    <col min="7" max="16384" width="9.109375" style="7"/>
  </cols>
  <sheetData>
    <row r="1" spans="1:6">
      <c r="F1" s="206" t="s">
        <v>113</v>
      </c>
    </row>
    <row r="2" spans="1:6">
      <c r="A2" s="740" t="s">
        <v>625</v>
      </c>
      <c r="B2" s="740"/>
      <c r="C2" s="740"/>
      <c r="D2" s="740"/>
      <c r="E2" s="740"/>
      <c r="F2" s="206" t="s">
        <v>113</v>
      </c>
    </row>
    <row r="3" spans="1:6">
      <c r="A3" s="702" t="s">
        <v>605</v>
      </c>
      <c r="B3" s="692"/>
      <c r="C3" s="692"/>
      <c r="D3" s="692"/>
      <c r="E3" s="692"/>
    </row>
    <row r="4" spans="1:6">
      <c r="A4" s="740" t="s">
        <v>47</v>
      </c>
      <c r="B4" s="740"/>
      <c r="C4" s="740"/>
      <c r="D4" s="740"/>
      <c r="E4" s="740"/>
    </row>
    <row r="5" spans="1:6">
      <c r="A5" s="726" t="s">
        <v>1175</v>
      </c>
      <c r="B5" s="703">
        <v>0</v>
      </c>
      <c r="C5" s="703">
        <v>0</v>
      </c>
      <c r="D5" s="703">
        <v>0</v>
      </c>
      <c r="E5" s="703">
        <v>0</v>
      </c>
    </row>
    <row r="6" spans="1:6">
      <c r="C6" s="184"/>
      <c r="D6" s="10"/>
    </row>
    <row r="7" spans="1:6">
      <c r="C7" s="184"/>
      <c r="D7" s="10"/>
    </row>
    <row r="8" spans="1:6" ht="15.6">
      <c r="C8" s="233" t="s">
        <v>661</v>
      </c>
      <c r="D8" s="234" t="s">
        <v>429</v>
      </c>
      <c r="E8" s="140" t="s">
        <v>103</v>
      </c>
    </row>
    <row r="9" spans="1:6">
      <c r="A9" s="8" t="s">
        <v>211</v>
      </c>
      <c r="C9" s="7"/>
    </row>
    <row r="10" spans="1:6">
      <c r="A10" s="8" t="s">
        <v>212</v>
      </c>
      <c r="C10" s="41">
        <f>26319382+1140453+497146</f>
        <v>27956981</v>
      </c>
      <c r="D10" s="41">
        <f>11308347+1924572+197375+1459884+4683298</f>
        <v>19573476</v>
      </c>
      <c r="E10" s="10">
        <f>SUM(C10:D10)</f>
        <v>47530457</v>
      </c>
    </row>
    <row r="11" spans="1:6">
      <c r="A11" s="8" t="s">
        <v>213</v>
      </c>
      <c r="C11" s="85">
        <f>27705570+2390694+191081</f>
        <v>30287345</v>
      </c>
      <c r="D11" s="85">
        <f>5279281+793216+168303</f>
        <v>6240800</v>
      </c>
      <c r="E11" s="185">
        <f>SUM(C11:D11)</f>
        <v>36528145</v>
      </c>
      <c r="F11" s="35"/>
    </row>
    <row r="12" spans="1:6">
      <c r="A12" s="8" t="s">
        <v>115</v>
      </c>
      <c r="C12" s="10">
        <f>C10+C11</f>
        <v>58244326</v>
      </c>
      <c r="D12" s="10">
        <f>D10+D11</f>
        <v>25814276</v>
      </c>
      <c r="E12" s="10">
        <f>E10+E11</f>
        <v>84058602</v>
      </c>
    </row>
    <row r="13" spans="1:6">
      <c r="A13" s="7" t="s">
        <v>113</v>
      </c>
      <c r="B13" s="35" t="s">
        <v>113</v>
      </c>
      <c r="C13" s="10"/>
      <c r="D13" s="10"/>
      <c r="E13" s="10"/>
    </row>
    <row r="14" spans="1:6">
      <c r="A14" s="8" t="s">
        <v>214</v>
      </c>
      <c r="C14" s="10"/>
      <c r="D14" s="10"/>
      <c r="E14" s="10"/>
    </row>
    <row r="15" spans="1:6">
      <c r="A15" s="8" t="s">
        <v>215</v>
      </c>
      <c r="C15" s="41">
        <v>78374</v>
      </c>
      <c r="D15" s="41">
        <v>9082941</v>
      </c>
      <c r="E15" s="10">
        <f>SUM(C15:D15)</f>
        <v>9161315</v>
      </c>
    </row>
    <row r="16" spans="1:6">
      <c r="A16" s="8" t="s">
        <v>213</v>
      </c>
      <c r="C16" s="85">
        <v>344149</v>
      </c>
      <c r="D16" s="85">
        <v>4174178</v>
      </c>
      <c r="E16" s="185">
        <f>SUM(C16:D16)</f>
        <v>4518327</v>
      </c>
    </row>
    <row r="17" spans="1:5">
      <c r="A17" s="8" t="s">
        <v>115</v>
      </c>
      <c r="C17" s="10">
        <f>C16+C15</f>
        <v>422523</v>
      </c>
      <c r="D17" s="10">
        <f>D16+D15</f>
        <v>13257119</v>
      </c>
      <c r="E17" s="10">
        <f>E16+E15</f>
        <v>13679642</v>
      </c>
    </row>
    <row r="18" spans="1:5">
      <c r="C18" s="10"/>
      <c r="D18" s="10"/>
      <c r="E18" s="10"/>
    </row>
    <row r="19" spans="1:5">
      <c r="A19" s="8" t="s">
        <v>216</v>
      </c>
      <c r="C19" s="10"/>
      <c r="D19" s="10"/>
      <c r="E19" s="10"/>
    </row>
    <row r="20" spans="1:5">
      <c r="A20" s="8" t="s">
        <v>215</v>
      </c>
      <c r="C20" s="41">
        <v>10477299</v>
      </c>
      <c r="D20" s="41">
        <v>3914259</v>
      </c>
      <c r="E20" s="10">
        <f>SUM(C20:D20)</f>
        <v>14391558</v>
      </c>
    </row>
    <row r="21" spans="1:5">
      <c r="A21" s="8" t="s">
        <v>213</v>
      </c>
      <c r="C21" s="85">
        <v>23476728</v>
      </c>
      <c r="D21" s="85">
        <v>1023234</v>
      </c>
      <c r="E21" s="185">
        <f>SUM(C21:D21)</f>
        <v>24499962</v>
      </c>
    </row>
    <row r="22" spans="1:5">
      <c r="A22" s="8" t="s">
        <v>115</v>
      </c>
      <c r="C22" s="10">
        <f>C21+C20</f>
        <v>33954027</v>
      </c>
      <c r="D22" s="10">
        <f>D21+D20</f>
        <v>4937493</v>
      </c>
      <c r="E22" s="10">
        <f>E21+E20</f>
        <v>38891520</v>
      </c>
    </row>
    <row r="23" spans="1:5">
      <c r="C23" s="10"/>
      <c r="D23" s="10"/>
      <c r="E23" s="10"/>
    </row>
    <row r="24" spans="1:5">
      <c r="A24" s="8" t="s">
        <v>137</v>
      </c>
      <c r="C24" s="41">
        <v>8040220</v>
      </c>
      <c r="D24" s="41">
        <v>9157323</v>
      </c>
      <c r="E24" s="10">
        <f>SUM(C24:D24)</f>
        <v>17197543</v>
      </c>
    </row>
    <row r="25" spans="1:5">
      <c r="C25" s="10"/>
      <c r="D25" s="10" t="s">
        <v>113</v>
      </c>
      <c r="E25" s="10"/>
    </row>
    <row r="26" spans="1:5">
      <c r="A26" s="8" t="s">
        <v>217</v>
      </c>
      <c r="C26" s="41">
        <v>2262171</v>
      </c>
      <c r="D26" s="41">
        <v>214822</v>
      </c>
      <c r="E26" s="10">
        <f>SUM(C26:D26)</f>
        <v>2476993</v>
      </c>
    </row>
    <row r="27" spans="1:5">
      <c r="C27" s="10"/>
      <c r="D27" s="10"/>
      <c r="E27" s="10"/>
    </row>
    <row r="28" spans="1:5">
      <c r="A28" s="8" t="s">
        <v>138</v>
      </c>
      <c r="C28" s="41">
        <v>0</v>
      </c>
      <c r="D28" s="41">
        <v>95</v>
      </c>
      <c r="E28" s="10">
        <f>SUM(C28:D28)</f>
        <v>95</v>
      </c>
    </row>
    <row r="29" spans="1:5">
      <c r="A29" s="8"/>
      <c r="C29" s="10"/>
      <c r="D29" s="10"/>
      <c r="E29" s="10"/>
    </row>
    <row r="30" spans="1:5">
      <c r="A30" s="186" t="s">
        <v>218</v>
      </c>
      <c r="B30" s="101"/>
      <c r="C30" s="86">
        <f>C12+C17+C22+C24+C26+C28</f>
        <v>102923267</v>
      </c>
      <c r="D30" s="86">
        <f>D12+D17+D22+D24+D26+D28</f>
        <v>53381128</v>
      </c>
      <c r="E30" s="86">
        <f>E12+E17+E22+E24+E26+E28</f>
        <v>156304395</v>
      </c>
    </row>
    <row r="31" spans="1:5">
      <c r="C31" s="10"/>
      <c r="D31" s="10"/>
      <c r="E31" s="10"/>
    </row>
    <row r="32" spans="1:5">
      <c r="A32" s="8" t="s">
        <v>139</v>
      </c>
      <c r="C32" s="10"/>
      <c r="D32" s="10"/>
      <c r="E32" s="10"/>
    </row>
    <row r="33" spans="1:5">
      <c r="A33" s="8" t="s">
        <v>215</v>
      </c>
      <c r="C33" s="41">
        <v>3118761</v>
      </c>
      <c r="D33" s="41">
        <v>27664580</v>
      </c>
      <c r="E33" s="10">
        <f>SUM(C33:D33)</f>
        <v>30783341</v>
      </c>
    </row>
    <row r="34" spans="1:5">
      <c r="A34" s="8" t="s">
        <v>213</v>
      </c>
      <c r="C34" s="85">
        <v>2596157</v>
      </c>
      <c r="D34" s="85">
        <v>490513</v>
      </c>
      <c r="E34" s="185">
        <f>SUM(C34:D34)</f>
        <v>3086670</v>
      </c>
    </row>
    <row r="35" spans="1:5">
      <c r="A35" s="8" t="s">
        <v>115</v>
      </c>
      <c r="C35" s="10">
        <f>C34+C33</f>
        <v>5714918</v>
      </c>
      <c r="D35" s="10">
        <f>D34+D33</f>
        <v>28155093</v>
      </c>
      <c r="E35" s="10">
        <f>E34+E33</f>
        <v>33870011</v>
      </c>
    </row>
    <row r="36" spans="1:5">
      <c r="C36" s="10"/>
      <c r="D36" s="10"/>
      <c r="E36" s="10"/>
    </row>
    <row r="37" spans="1:5">
      <c r="A37" s="8" t="s">
        <v>219</v>
      </c>
      <c r="C37" s="10">
        <f>C30+C35</f>
        <v>108638185</v>
      </c>
      <c r="D37" s="10">
        <f>D30+D35</f>
        <v>81536221</v>
      </c>
      <c r="E37" s="10">
        <f>E30+E35</f>
        <v>190174406</v>
      </c>
    </row>
    <row r="38" spans="1:5">
      <c r="A38" s="8"/>
      <c r="C38" s="10"/>
      <c r="D38" s="187"/>
      <c r="E38" s="35"/>
    </row>
    <row r="39" spans="1:5">
      <c r="A39" s="8"/>
      <c r="C39" s="10"/>
      <c r="D39" s="187"/>
      <c r="E39" s="35"/>
    </row>
    <row r="40" spans="1:5" ht="13.8">
      <c r="A40" s="235" t="s">
        <v>702</v>
      </c>
      <c r="B40" s="245"/>
      <c r="C40" s="246"/>
      <c r="D40" s="10"/>
    </row>
    <row r="41" spans="1:5" ht="13.8">
      <c r="A41" s="235" t="s">
        <v>430</v>
      </c>
      <c r="B41" s="232"/>
      <c r="C41" s="247"/>
    </row>
  </sheetData>
  <mergeCells count="4">
    <mergeCell ref="A2:E2"/>
    <mergeCell ref="A4:E4"/>
    <mergeCell ref="A5:E5"/>
    <mergeCell ref="A3:E3"/>
  </mergeCells>
  <phoneticPr fontId="2" type="noConversion"/>
  <pageMargins left="0.5" right="0.5" top="0.5" bottom="0.5" header="0.5" footer="0.25"/>
  <pageSetup scale="74" orientation="portrait" r:id="rId1"/>
  <headerFooter alignWithMargins="0">
    <oddFooter>&amp;C&amp;A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</sheetPr>
  <dimension ref="B1:I62"/>
  <sheetViews>
    <sheetView showGridLines="0" view="pageBreakPreview" topLeftCell="A31" zoomScaleNormal="100" zoomScaleSheetLayoutView="100" workbookViewId="0">
      <selection activeCell="L72" sqref="L72"/>
    </sheetView>
  </sheetViews>
  <sheetFormatPr defaultColWidth="9.109375" defaultRowHeight="13.2"/>
  <cols>
    <col min="1" max="2" width="9.109375" style="1"/>
    <col min="3" max="3" width="37.6640625" style="1" customWidth="1"/>
    <col min="4" max="6" width="13.33203125" style="98" bestFit="1" customWidth="1"/>
    <col min="7" max="7" width="7.88671875" style="1" bestFit="1" customWidth="1"/>
    <col min="8" max="8" width="10.109375" style="1" bestFit="1" customWidth="1"/>
    <col min="9" max="9" width="12.33203125" style="1" customWidth="1"/>
    <col min="10" max="16384" width="9.109375" style="1"/>
  </cols>
  <sheetData>
    <row r="1" spans="2:9">
      <c r="G1" s="284" t="s">
        <v>113</v>
      </c>
    </row>
    <row r="2" spans="2:9">
      <c r="G2" s="284" t="s">
        <v>113</v>
      </c>
    </row>
    <row r="3" spans="2:9">
      <c r="C3" s="691" t="s">
        <v>625</v>
      </c>
      <c r="D3" s="691"/>
      <c r="E3" s="691"/>
      <c r="F3" s="691"/>
    </row>
    <row r="4" spans="2:9">
      <c r="C4" s="691" t="s">
        <v>605</v>
      </c>
      <c r="D4" s="691"/>
      <c r="E4" s="691"/>
      <c r="F4" s="691"/>
    </row>
    <row r="5" spans="2:9">
      <c r="C5" s="691" t="s">
        <v>48</v>
      </c>
      <c r="D5" s="691"/>
      <c r="E5" s="691"/>
      <c r="F5" s="691"/>
    </row>
    <row r="6" spans="2:9">
      <c r="C6" s="691" t="s">
        <v>1175</v>
      </c>
      <c r="D6" s="691"/>
      <c r="E6" s="691"/>
      <c r="F6" s="691"/>
      <c r="G6" s="691"/>
      <c r="H6" s="691"/>
      <c r="I6" s="691"/>
    </row>
    <row r="9" spans="2:9" ht="15.6">
      <c r="B9" s="149" t="s">
        <v>117</v>
      </c>
      <c r="D9" s="180" t="s">
        <v>886</v>
      </c>
      <c r="E9" s="180" t="s">
        <v>887</v>
      </c>
      <c r="F9" s="180" t="s">
        <v>103</v>
      </c>
      <c r="G9" s="381" t="s">
        <v>915</v>
      </c>
    </row>
    <row r="10" spans="2:9">
      <c r="B10" s="529">
        <v>500</v>
      </c>
      <c r="C10" s="530" t="s">
        <v>888</v>
      </c>
      <c r="D10" s="433">
        <v>11783253</v>
      </c>
      <c r="E10" s="433"/>
      <c r="F10" s="531">
        <f>SUM(D10:E10)</f>
        <v>11783253</v>
      </c>
      <c r="G10" s="107" t="s">
        <v>278</v>
      </c>
      <c r="I10" s="6"/>
    </row>
    <row r="11" spans="2:9">
      <c r="B11" s="529">
        <v>501</v>
      </c>
      <c r="C11" s="530" t="s">
        <v>112</v>
      </c>
      <c r="D11" s="433"/>
      <c r="E11" s="433">
        <v>2737507</v>
      </c>
      <c r="F11" s="531">
        <f t="shared" ref="F11:F49" si="0">SUM(D11:E11)</f>
        <v>2737507</v>
      </c>
      <c r="I11" s="13"/>
    </row>
    <row r="12" spans="2:9">
      <c r="B12" s="529">
        <v>502</v>
      </c>
      <c r="C12" s="530" t="s">
        <v>889</v>
      </c>
      <c r="D12" s="433">
        <v>11088034</v>
      </c>
      <c r="E12" s="433"/>
      <c r="F12" s="531">
        <f t="shared" si="0"/>
        <v>11088034</v>
      </c>
      <c r="I12" s="13"/>
    </row>
    <row r="13" spans="2:9">
      <c r="B13" s="529">
        <v>505</v>
      </c>
      <c r="C13" s="530" t="s">
        <v>890</v>
      </c>
      <c r="D13" s="433">
        <v>0</v>
      </c>
      <c r="E13" s="433"/>
      <c r="F13" s="531">
        <f t="shared" si="0"/>
        <v>0</v>
      </c>
      <c r="I13" s="13"/>
    </row>
    <row r="14" spans="2:9">
      <c r="B14" s="529">
        <v>506</v>
      </c>
      <c r="C14" s="530" t="s">
        <v>146</v>
      </c>
      <c r="D14" s="433">
        <v>12018935</v>
      </c>
      <c r="E14" s="433"/>
      <c r="F14" s="531">
        <f t="shared" si="0"/>
        <v>12018935</v>
      </c>
      <c r="I14" s="13"/>
    </row>
    <row r="15" spans="2:9">
      <c r="B15" s="529">
        <v>510</v>
      </c>
      <c r="C15" s="530" t="s">
        <v>152</v>
      </c>
      <c r="D15" s="433"/>
      <c r="E15" s="433">
        <v>3859504</v>
      </c>
      <c r="F15" s="531">
        <f t="shared" si="0"/>
        <v>3859504</v>
      </c>
      <c r="I15" s="13"/>
    </row>
    <row r="16" spans="2:9">
      <c r="B16" s="529">
        <v>511</v>
      </c>
      <c r="C16" s="530" t="s">
        <v>153</v>
      </c>
      <c r="D16" s="433">
        <v>1377630</v>
      </c>
      <c r="E16" s="433"/>
      <c r="F16" s="531">
        <f t="shared" si="0"/>
        <v>1377630</v>
      </c>
      <c r="I16" s="13"/>
    </row>
    <row r="17" spans="2:9">
      <c r="B17" s="529">
        <v>512</v>
      </c>
      <c r="C17" s="530" t="s">
        <v>154</v>
      </c>
      <c r="D17" s="433"/>
      <c r="E17" s="433">
        <v>14133544</v>
      </c>
      <c r="F17" s="531">
        <f t="shared" si="0"/>
        <v>14133544</v>
      </c>
      <c r="I17" s="13"/>
    </row>
    <row r="18" spans="2:9">
      <c r="B18" s="529">
        <v>513</v>
      </c>
      <c r="C18" s="530" t="s">
        <v>155</v>
      </c>
      <c r="D18" s="433"/>
      <c r="E18" s="433">
        <v>4703307</v>
      </c>
      <c r="F18" s="531">
        <f t="shared" si="0"/>
        <v>4703307</v>
      </c>
      <c r="I18" s="13"/>
    </row>
    <row r="19" spans="2:9">
      <c r="B19" s="529">
        <v>514</v>
      </c>
      <c r="C19" s="530" t="s">
        <v>156</v>
      </c>
      <c r="D19" s="433">
        <v>8910866</v>
      </c>
      <c r="E19" s="532"/>
      <c r="F19" s="531">
        <f t="shared" si="0"/>
        <v>8910866</v>
      </c>
      <c r="I19" s="13"/>
    </row>
    <row r="20" spans="2:9">
      <c r="B20" s="529">
        <v>517</v>
      </c>
      <c r="C20" s="530" t="s">
        <v>143</v>
      </c>
      <c r="D20" s="433">
        <v>0</v>
      </c>
      <c r="E20" s="532"/>
      <c r="F20" s="531">
        <f t="shared" si="0"/>
        <v>0</v>
      </c>
      <c r="I20" s="13"/>
    </row>
    <row r="21" spans="2:9">
      <c r="B21" s="529">
        <v>519</v>
      </c>
      <c r="C21" s="530" t="s">
        <v>579</v>
      </c>
      <c r="D21" s="433">
        <v>0</v>
      </c>
      <c r="E21" s="532"/>
      <c r="F21" s="531">
        <f t="shared" si="0"/>
        <v>0</v>
      </c>
      <c r="I21" s="13"/>
    </row>
    <row r="22" spans="2:9">
      <c r="B22" s="529">
        <v>520</v>
      </c>
      <c r="C22" s="530" t="s">
        <v>144</v>
      </c>
      <c r="D22" s="433">
        <v>0</v>
      </c>
      <c r="E22" s="532"/>
      <c r="F22" s="531">
        <f t="shared" si="0"/>
        <v>0</v>
      </c>
      <c r="I22" s="13"/>
    </row>
    <row r="23" spans="2:9">
      <c r="B23" s="529">
        <v>523</v>
      </c>
      <c r="C23" s="530" t="s">
        <v>145</v>
      </c>
      <c r="D23" s="433">
        <v>0</v>
      </c>
      <c r="E23" s="532"/>
      <c r="F23" s="531">
        <f t="shared" si="0"/>
        <v>0</v>
      </c>
      <c r="I23" s="13"/>
    </row>
    <row r="24" spans="2:9">
      <c r="B24" s="529">
        <v>524</v>
      </c>
      <c r="C24" s="530" t="s">
        <v>891</v>
      </c>
      <c r="D24" s="433">
        <v>0</v>
      </c>
      <c r="E24" s="532"/>
      <c r="F24" s="531">
        <f t="shared" si="0"/>
        <v>0</v>
      </c>
      <c r="I24" s="13"/>
    </row>
    <row r="25" spans="2:9">
      <c r="B25" s="529">
        <v>528</v>
      </c>
      <c r="C25" s="530" t="s">
        <v>152</v>
      </c>
      <c r="D25" s="433"/>
      <c r="E25" s="533">
        <v>0</v>
      </c>
      <c r="F25" s="531">
        <f t="shared" si="0"/>
        <v>0</v>
      </c>
      <c r="I25" s="13"/>
    </row>
    <row r="26" spans="2:9">
      <c r="B26" s="529">
        <v>529</v>
      </c>
      <c r="C26" s="530" t="s">
        <v>153</v>
      </c>
      <c r="D26" s="433">
        <v>0</v>
      </c>
      <c r="E26" s="533"/>
      <c r="F26" s="531">
        <f t="shared" si="0"/>
        <v>0</v>
      </c>
      <c r="I26" s="13"/>
    </row>
    <row r="27" spans="2:9">
      <c r="B27" s="529">
        <v>530</v>
      </c>
      <c r="C27" s="530" t="s">
        <v>577</v>
      </c>
      <c r="D27" s="433"/>
      <c r="E27" s="533">
        <v>0</v>
      </c>
      <c r="F27" s="531">
        <f t="shared" si="0"/>
        <v>0</v>
      </c>
      <c r="I27" s="13"/>
    </row>
    <row r="28" spans="2:9">
      <c r="B28" s="529">
        <v>531</v>
      </c>
      <c r="C28" s="434" t="s">
        <v>155</v>
      </c>
      <c r="D28" s="433"/>
      <c r="E28" s="533">
        <v>0</v>
      </c>
      <c r="F28" s="531">
        <f t="shared" si="0"/>
        <v>0</v>
      </c>
      <c r="I28" s="13"/>
    </row>
    <row r="29" spans="2:9">
      <c r="B29" s="529">
        <v>532</v>
      </c>
      <c r="C29" s="530" t="s">
        <v>892</v>
      </c>
      <c r="D29" s="433" t="s">
        <v>113</v>
      </c>
      <c r="E29" s="533">
        <v>0</v>
      </c>
      <c r="F29" s="531">
        <f t="shared" si="0"/>
        <v>0</v>
      </c>
      <c r="I29" s="13"/>
    </row>
    <row r="30" spans="2:9">
      <c r="B30" s="529">
        <v>535</v>
      </c>
      <c r="C30" s="530" t="s">
        <v>143</v>
      </c>
      <c r="D30" s="433">
        <v>1000138</v>
      </c>
      <c r="E30" s="532"/>
      <c r="F30" s="531">
        <f t="shared" si="0"/>
        <v>1000138</v>
      </c>
      <c r="I30" s="13"/>
    </row>
    <row r="31" spans="2:9">
      <c r="B31" s="529">
        <v>536</v>
      </c>
      <c r="C31" s="530" t="s">
        <v>504</v>
      </c>
      <c r="D31" s="433">
        <v>528</v>
      </c>
      <c r="E31" s="532"/>
      <c r="F31" s="531">
        <f t="shared" si="0"/>
        <v>528</v>
      </c>
      <c r="I31" s="13"/>
    </row>
    <row r="32" spans="2:9">
      <c r="B32" s="529">
        <v>537</v>
      </c>
      <c r="C32" s="530" t="s">
        <v>505</v>
      </c>
      <c r="D32" s="433">
        <v>225547</v>
      </c>
      <c r="E32" s="532"/>
      <c r="F32" s="531">
        <f t="shared" si="0"/>
        <v>225547</v>
      </c>
      <c r="I32" s="13"/>
    </row>
    <row r="33" spans="2:9">
      <c r="B33" s="529">
        <v>538</v>
      </c>
      <c r="C33" s="530" t="s">
        <v>145</v>
      </c>
      <c r="D33" s="433">
        <v>2702</v>
      </c>
      <c r="E33" s="532"/>
      <c r="F33" s="531">
        <f>SUM(D33:E33)</f>
        <v>2702</v>
      </c>
      <c r="I33" s="13"/>
    </row>
    <row r="34" spans="2:9">
      <c r="B34" s="529">
        <v>539</v>
      </c>
      <c r="C34" s="530" t="s">
        <v>506</v>
      </c>
      <c r="D34" s="433">
        <v>1831639</v>
      </c>
      <c r="E34" s="532"/>
      <c r="F34" s="531">
        <f t="shared" si="0"/>
        <v>1831639</v>
      </c>
      <c r="I34" s="13"/>
    </row>
    <row r="35" spans="2:9" s="528" customFormat="1">
      <c r="B35" s="529">
        <v>540</v>
      </c>
      <c r="C35" s="530" t="s">
        <v>147</v>
      </c>
      <c r="D35" s="433">
        <v>4471</v>
      </c>
      <c r="E35" s="532"/>
      <c r="F35" s="531">
        <f t="shared" ref="F35" si="1">SUM(D35:E35)</f>
        <v>4471</v>
      </c>
      <c r="I35" s="13"/>
    </row>
    <row r="36" spans="2:9">
      <c r="B36" s="529">
        <v>541</v>
      </c>
      <c r="C36" s="530" t="s">
        <v>152</v>
      </c>
      <c r="D36" s="433">
        <v>366100</v>
      </c>
      <c r="E36" s="532"/>
      <c r="F36" s="531">
        <f t="shared" si="0"/>
        <v>366100</v>
      </c>
      <c r="I36" s="13"/>
    </row>
    <row r="37" spans="2:9">
      <c r="B37" s="529">
        <v>542</v>
      </c>
      <c r="C37" s="530" t="s">
        <v>153</v>
      </c>
      <c r="D37" s="433">
        <v>829792</v>
      </c>
      <c r="E37" s="532"/>
      <c r="F37" s="531">
        <f t="shared" si="0"/>
        <v>829792</v>
      </c>
      <c r="I37" s="13"/>
    </row>
    <row r="38" spans="2:9">
      <c r="B38" s="529">
        <v>543</v>
      </c>
      <c r="C38" s="530" t="s">
        <v>893</v>
      </c>
      <c r="D38" s="433">
        <v>679696</v>
      </c>
      <c r="E38" s="532"/>
      <c r="F38" s="531">
        <f t="shared" si="0"/>
        <v>679696</v>
      </c>
      <c r="I38" s="13"/>
    </row>
    <row r="39" spans="2:9">
      <c r="B39" s="529">
        <v>544</v>
      </c>
      <c r="C39" s="530" t="s">
        <v>155</v>
      </c>
      <c r="D39" s="433"/>
      <c r="E39" s="534">
        <v>1217429</v>
      </c>
      <c r="F39" s="531">
        <f t="shared" si="0"/>
        <v>1217429</v>
      </c>
      <c r="I39" s="13"/>
    </row>
    <row r="40" spans="2:9">
      <c r="B40" s="529">
        <v>545</v>
      </c>
      <c r="C40" s="530" t="s">
        <v>894</v>
      </c>
      <c r="D40" s="433">
        <v>90893</v>
      </c>
      <c r="E40" s="534"/>
      <c r="F40" s="531">
        <f t="shared" si="0"/>
        <v>90893</v>
      </c>
      <c r="I40" s="13"/>
    </row>
    <row r="41" spans="2:9">
      <c r="B41" s="529">
        <v>546</v>
      </c>
      <c r="C41" s="530" t="s">
        <v>143</v>
      </c>
      <c r="D41" s="433">
        <v>235100</v>
      </c>
      <c r="E41" s="534"/>
      <c r="F41" s="531">
        <f t="shared" si="0"/>
        <v>235100</v>
      </c>
      <c r="I41" s="13"/>
    </row>
    <row r="42" spans="2:9">
      <c r="B42" s="529">
        <v>547</v>
      </c>
      <c r="C42" s="530" t="s">
        <v>112</v>
      </c>
      <c r="D42" s="433"/>
      <c r="E42" s="534">
        <v>54779</v>
      </c>
      <c r="F42" s="531">
        <f t="shared" si="0"/>
        <v>54779</v>
      </c>
      <c r="I42" s="13"/>
    </row>
    <row r="43" spans="2:9">
      <c r="B43" s="529">
        <v>548</v>
      </c>
      <c r="C43" s="530" t="s">
        <v>149</v>
      </c>
      <c r="D43" s="433">
        <v>398902</v>
      </c>
      <c r="E43" s="534"/>
      <c r="F43" s="531">
        <f t="shared" si="0"/>
        <v>398902</v>
      </c>
      <c r="I43" s="13"/>
    </row>
    <row r="44" spans="2:9">
      <c r="B44" s="529">
        <v>549</v>
      </c>
      <c r="C44" s="530" t="s">
        <v>895</v>
      </c>
      <c r="D44" s="433">
        <v>5740</v>
      </c>
      <c r="E44" s="534"/>
      <c r="F44" s="531">
        <f t="shared" si="0"/>
        <v>5740</v>
      </c>
      <c r="I44" s="13"/>
    </row>
    <row r="45" spans="2:9">
      <c r="B45" s="529">
        <v>553</v>
      </c>
      <c r="C45" s="434" t="s">
        <v>222</v>
      </c>
      <c r="D45" s="433">
        <v>359384</v>
      </c>
      <c r="E45" s="532"/>
      <c r="F45" s="531">
        <f t="shared" si="0"/>
        <v>359384</v>
      </c>
      <c r="I45" s="13"/>
    </row>
    <row r="46" spans="2:9">
      <c r="B46" s="529">
        <v>554</v>
      </c>
      <c r="C46" s="530" t="s">
        <v>896</v>
      </c>
      <c r="D46" s="433">
        <v>0</v>
      </c>
      <c r="E46" s="532"/>
      <c r="F46" s="531">
        <f t="shared" si="0"/>
        <v>0</v>
      </c>
      <c r="I46" s="13"/>
    </row>
    <row r="47" spans="2:9">
      <c r="B47" s="529">
        <v>555</v>
      </c>
      <c r="C47" s="530" t="s">
        <v>208</v>
      </c>
      <c r="D47" s="432">
        <f>+F47*'WP-14'!G64</f>
        <v>0</v>
      </c>
      <c r="E47" s="535">
        <f>+F47-D47</f>
        <v>0</v>
      </c>
      <c r="F47" s="536">
        <v>0</v>
      </c>
      <c r="I47" s="13"/>
    </row>
    <row r="48" spans="2:9">
      <c r="B48" s="529">
        <v>556</v>
      </c>
      <c r="C48" s="530" t="s">
        <v>158</v>
      </c>
      <c r="D48" s="433">
        <v>1459884</v>
      </c>
      <c r="E48" s="433"/>
      <c r="F48" s="531">
        <f t="shared" si="0"/>
        <v>1459884</v>
      </c>
      <c r="I48" s="181"/>
    </row>
    <row r="49" spans="2:9">
      <c r="B49" s="529">
        <v>557</v>
      </c>
      <c r="C49" s="530" t="s">
        <v>224</v>
      </c>
      <c r="D49" s="439">
        <v>4683298</v>
      </c>
      <c r="E49" s="439"/>
      <c r="F49" s="537">
        <f t="shared" si="0"/>
        <v>4683298</v>
      </c>
      <c r="I49" s="181"/>
    </row>
    <row r="50" spans="2:9">
      <c r="B50" s="182" t="s">
        <v>885</v>
      </c>
      <c r="D50" s="6">
        <f>SUM(D10:D49)</f>
        <v>57352532</v>
      </c>
      <c r="E50" s="6">
        <f>SUM(E10:E49)</f>
        <v>26706070</v>
      </c>
      <c r="F50" s="6">
        <f>SUM(F10:F49)</f>
        <v>84058602</v>
      </c>
      <c r="G50" s="181"/>
    </row>
    <row r="51" spans="2:9">
      <c r="F51" s="98" t="s">
        <v>113</v>
      </c>
      <c r="G51" s="181" t="s">
        <v>113</v>
      </c>
    </row>
    <row r="52" spans="2:9">
      <c r="C52" s="107" t="s">
        <v>140</v>
      </c>
      <c r="D52" s="99">
        <f>ROUND(D50/$F$50,10)</f>
        <v>0.68229224180000003</v>
      </c>
      <c r="E52" s="99">
        <f>ROUND(E50/$F$50,10)</f>
        <v>0.31770775820000002</v>
      </c>
      <c r="F52" s="99">
        <f>ROUND(F50/$F$50,10)</f>
        <v>1</v>
      </c>
    </row>
    <row r="53" spans="2:9">
      <c r="D53" s="99" t="s">
        <v>113</v>
      </c>
      <c r="E53" s="99" t="s">
        <v>113</v>
      </c>
    </row>
    <row r="54" spans="2:9" ht="13.8">
      <c r="C54" s="256" t="s">
        <v>113</v>
      </c>
      <c r="F54" s="6"/>
    </row>
    <row r="55" spans="2:9" ht="15.6">
      <c r="B55" s="195" t="s">
        <v>527</v>
      </c>
      <c r="F55" s="6"/>
    </row>
    <row r="56" spans="2:9">
      <c r="B56" s="210" t="s">
        <v>528</v>
      </c>
      <c r="D56" s="1"/>
    </row>
    <row r="57" spans="2:9">
      <c r="D57" s="1"/>
    </row>
    <row r="58" spans="2:9">
      <c r="D58" s="1"/>
    </row>
    <row r="59" spans="2:9">
      <c r="D59" s="1"/>
    </row>
    <row r="60" spans="2:9">
      <c r="D60" s="1"/>
    </row>
    <row r="61" spans="2:9">
      <c r="D61" s="1"/>
    </row>
    <row r="62" spans="2:9">
      <c r="D62" s="1"/>
    </row>
  </sheetData>
  <mergeCells count="5">
    <mergeCell ref="C3:F3"/>
    <mergeCell ref="C4:F4"/>
    <mergeCell ref="C5:F5"/>
    <mergeCell ref="C6:F6"/>
    <mergeCell ref="G6:I6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rgb="FF92D050"/>
  </sheetPr>
  <dimension ref="A1:I206"/>
  <sheetViews>
    <sheetView showGridLines="0" view="pageBreakPreview" topLeftCell="A156" zoomScale="88" zoomScaleNormal="100" zoomScaleSheetLayoutView="88" workbookViewId="0">
      <selection activeCell="D172" sqref="D172"/>
    </sheetView>
  </sheetViews>
  <sheetFormatPr defaultColWidth="9.109375" defaultRowHeight="13.2"/>
  <cols>
    <col min="1" max="1" width="9.109375" style="7"/>
    <col min="2" max="2" width="40.33203125" style="7" customWidth="1"/>
    <col min="3" max="3" width="10" style="7" customWidth="1"/>
    <col min="4" max="4" width="17.88671875" style="7" customWidth="1"/>
    <col min="5" max="5" width="11.33203125" style="7" customWidth="1"/>
    <col min="6" max="6" width="10.44140625" style="7" bestFit="1" customWidth="1"/>
    <col min="7" max="8" width="12.6640625" style="7" customWidth="1"/>
    <col min="9" max="16384" width="9.109375" style="7"/>
  </cols>
  <sheetData>
    <row r="1" spans="1:7">
      <c r="E1" s="206" t="s">
        <v>113</v>
      </c>
      <c r="F1" s="206" t="s">
        <v>113</v>
      </c>
      <c r="G1" s="7" t="s">
        <v>925</v>
      </c>
    </row>
    <row r="2" spans="1:7">
      <c r="A2" s="741" t="s">
        <v>625</v>
      </c>
      <c r="B2" s="692"/>
      <c r="C2" s="692"/>
      <c r="D2" s="692"/>
      <c r="E2" s="692"/>
      <c r="F2" s="692"/>
      <c r="G2" s="692"/>
    </row>
    <row r="3" spans="1:7">
      <c r="A3" s="691" t="s">
        <v>605</v>
      </c>
      <c r="B3" s="691"/>
      <c r="C3" s="691"/>
      <c r="D3" s="691"/>
      <c r="E3" s="692"/>
      <c r="F3" s="692"/>
      <c r="G3" s="692"/>
    </row>
    <row r="4" spans="1:7">
      <c r="A4" s="741" t="s">
        <v>49</v>
      </c>
      <c r="B4" s="692"/>
      <c r="C4" s="692"/>
      <c r="D4" s="692"/>
      <c r="E4" s="692"/>
      <c r="F4" s="692"/>
      <c r="G4" s="692"/>
    </row>
    <row r="5" spans="1:7">
      <c r="A5" s="742" t="s">
        <v>1175</v>
      </c>
      <c r="B5" s="692"/>
      <c r="C5" s="692"/>
      <c r="D5" s="692"/>
      <c r="E5" s="692"/>
      <c r="F5" s="692"/>
      <c r="G5" s="692"/>
    </row>
    <row r="6" spans="1:7">
      <c r="A6" s="176" t="s">
        <v>113</v>
      </c>
      <c r="B6" s="74"/>
      <c r="C6" s="74"/>
      <c r="D6" s="74"/>
    </row>
    <row r="7" spans="1:7">
      <c r="A7" s="177" t="s">
        <v>105</v>
      </c>
      <c r="B7" s="13"/>
      <c r="C7" s="13"/>
      <c r="D7" s="13"/>
    </row>
    <row r="8" spans="1:7">
      <c r="B8" s="22" t="s">
        <v>117</v>
      </c>
      <c r="C8" s="13"/>
      <c r="D8" s="374" t="s">
        <v>296</v>
      </c>
      <c r="F8" s="140" t="s">
        <v>359</v>
      </c>
    </row>
    <row r="9" spans="1:7">
      <c r="A9" s="431">
        <v>500</v>
      </c>
      <c r="B9" s="432" t="s">
        <v>143</v>
      </c>
      <c r="C9" s="432"/>
      <c r="D9" s="433">
        <v>18458492</v>
      </c>
      <c r="E9" s="434"/>
      <c r="F9" s="434" t="s">
        <v>898</v>
      </c>
      <c r="G9" s="434"/>
    </row>
    <row r="10" spans="1:7">
      <c r="A10" s="431">
        <v>501</v>
      </c>
      <c r="B10" s="432" t="s">
        <v>112</v>
      </c>
      <c r="C10" s="432"/>
      <c r="D10" s="433">
        <v>615901604</v>
      </c>
      <c r="E10" s="434"/>
      <c r="F10" s="434" t="s">
        <v>899</v>
      </c>
      <c r="G10" s="434"/>
    </row>
    <row r="11" spans="1:7">
      <c r="A11" s="431">
        <v>502</v>
      </c>
      <c r="B11" s="432" t="s">
        <v>144</v>
      </c>
      <c r="C11" s="432"/>
      <c r="D11" s="433">
        <v>47429653</v>
      </c>
      <c r="E11" s="434"/>
      <c r="F11" s="434" t="s">
        <v>758</v>
      </c>
      <c r="G11" s="434"/>
    </row>
    <row r="12" spans="1:7">
      <c r="A12" s="431">
        <v>505</v>
      </c>
      <c r="B12" s="432" t="s">
        <v>145</v>
      </c>
      <c r="C12" s="432"/>
      <c r="D12" s="433">
        <v>260073</v>
      </c>
      <c r="E12" s="434"/>
      <c r="F12" s="434" t="s">
        <v>759</v>
      </c>
      <c r="G12" s="434"/>
    </row>
    <row r="13" spans="1:7">
      <c r="A13" s="431">
        <v>506</v>
      </c>
      <c r="B13" s="432" t="s">
        <v>146</v>
      </c>
      <c r="C13" s="432"/>
      <c r="D13" s="433">
        <v>32263881</v>
      </c>
      <c r="E13" s="434"/>
      <c r="F13" s="434" t="s">
        <v>760</v>
      </c>
      <c r="G13" s="434"/>
    </row>
    <row r="14" spans="1:7">
      <c r="A14" s="431">
        <v>507</v>
      </c>
      <c r="B14" s="432" t="s">
        <v>147</v>
      </c>
      <c r="C14" s="432"/>
      <c r="D14" s="433">
        <v>8903</v>
      </c>
      <c r="E14" s="434"/>
      <c r="F14" s="434" t="s">
        <v>761</v>
      </c>
      <c r="G14" s="434"/>
    </row>
    <row r="15" spans="1:7">
      <c r="A15" s="435">
        <v>509</v>
      </c>
      <c r="B15" s="432" t="s">
        <v>148</v>
      </c>
      <c r="C15" s="432"/>
      <c r="D15" s="433">
        <v>307782</v>
      </c>
      <c r="E15" s="434"/>
      <c r="F15" s="434" t="s">
        <v>762</v>
      </c>
      <c r="G15" s="434"/>
    </row>
    <row r="16" spans="1:7">
      <c r="A16" s="435">
        <v>517</v>
      </c>
      <c r="B16" s="432" t="s">
        <v>143</v>
      </c>
      <c r="C16" s="432"/>
      <c r="D16" s="433">
        <v>0</v>
      </c>
      <c r="E16" s="434"/>
      <c r="F16" s="434" t="s">
        <v>763</v>
      </c>
      <c r="G16" s="434"/>
    </row>
    <row r="17" spans="1:7">
      <c r="A17" s="435">
        <v>518</v>
      </c>
      <c r="B17" s="432" t="s">
        <v>112</v>
      </c>
      <c r="C17" s="432"/>
      <c r="D17" s="433">
        <v>0</v>
      </c>
      <c r="E17" s="434"/>
      <c r="F17" s="434" t="s">
        <v>900</v>
      </c>
      <c r="G17" s="434"/>
    </row>
    <row r="18" spans="1:7">
      <c r="A18" s="435">
        <v>519</v>
      </c>
      <c r="B18" s="432" t="s">
        <v>579</v>
      </c>
      <c r="C18" s="432"/>
      <c r="D18" s="433">
        <v>0</v>
      </c>
      <c r="E18" s="434"/>
      <c r="F18" s="434" t="s">
        <v>764</v>
      </c>
      <c r="G18" s="434"/>
    </row>
    <row r="19" spans="1:7">
      <c r="A19" s="435">
        <v>520</v>
      </c>
      <c r="B19" s="432" t="s">
        <v>144</v>
      </c>
      <c r="C19" s="432"/>
      <c r="D19" s="433">
        <v>0</v>
      </c>
      <c r="E19" s="434"/>
      <c r="F19" s="434" t="s">
        <v>765</v>
      </c>
      <c r="G19" s="434"/>
    </row>
    <row r="20" spans="1:7">
      <c r="A20" s="435">
        <v>523</v>
      </c>
      <c r="B20" s="432" t="s">
        <v>145</v>
      </c>
      <c r="C20" s="432"/>
      <c r="D20" s="433">
        <v>0</v>
      </c>
      <c r="E20" s="434"/>
      <c r="F20" s="434" t="s">
        <v>766</v>
      </c>
      <c r="G20" s="434"/>
    </row>
    <row r="21" spans="1:7">
      <c r="A21" s="435">
        <v>524</v>
      </c>
      <c r="B21" s="432" t="s">
        <v>580</v>
      </c>
      <c r="C21" s="432"/>
      <c r="D21" s="433">
        <v>0</v>
      </c>
      <c r="E21" s="434"/>
      <c r="F21" s="434" t="s">
        <v>767</v>
      </c>
      <c r="G21" s="434"/>
    </row>
    <row r="22" spans="1:7">
      <c r="A22" s="435">
        <v>535</v>
      </c>
      <c r="B22" s="432" t="s">
        <v>143</v>
      </c>
      <c r="C22" s="432"/>
      <c r="D22" s="433">
        <v>1413390</v>
      </c>
      <c r="E22" s="434"/>
      <c r="F22" s="434" t="s">
        <v>768</v>
      </c>
      <c r="G22" s="434"/>
    </row>
    <row r="23" spans="1:7">
      <c r="A23" s="435">
        <v>536</v>
      </c>
      <c r="B23" s="432" t="s">
        <v>504</v>
      </c>
      <c r="C23" s="432"/>
      <c r="D23" s="433">
        <v>28265</v>
      </c>
      <c r="E23" s="434"/>
      <c r="F23" s="434" t="s">
        <v>769</v>
      </c>
      <c r="G23" s="434"/>
    </row>
    <row r="24" spans="1:7">
      <c r="A24" s="435">
        <v>537</v>
      </c>
      <c r="B24" s="432" t="s">
        <v>505</v>
      </c>
      <c r="C24" s="432"/>
      <c r="D24" s="433">
        <v>538791</v>
      </c>
      <c r="E24" s="434"/>
      <c r="F24" s="434" t="s">
        <v>770</v>
      </c>
      <c r="G24" s="434"/>
    </row>
    <row r="25" spans="1:7">
      <c r="A25" s="435">
        <v>538</v>
      </c>
      <c r="B25" s="432" t="s">
        <v>145</v>
      </c>
      <c r="C25" s="432"/>
      <c r="D25" s="433">
        <v>4469</v>
      </c>
      <c r="E25" s="434"/>
      <c r="F25" s="434" t="s">
        <v>771</v>
      </c>
      <c r="G25" s="434"/>
    </row>
    <row r="26" spans="1:7">
      <c r="A26" s="435">
        <v>539</v>
      </c>
      <c r="B26" s="432" t="s">
        <v>506</v>
      </c>
      <c r="C26" s="432"/>
      <c r="D26" s="433">
        <v>3584691</v>
      </c>
      <c r="E26" s="434"/>
      <c r="F26" s="434" t="s">
        <v>772</v>
      </c>
      <c r="G26" s="434"/>
    </row>
    <row r="27" spans="1:7">
      <c r="A27" s="435">
        <v>540</v>
      </c>
      <c r="B27" s="432" t="s">
        <v>147</v>
      </c>
      <c r="C27" s="432"/>
      <c r="D27" s="433">
        <v>428927</v>
      </c>
      <c r="E27" s="434"/>
      <c r="F27" s="434" t="s">
        <v>901</v>
      </c>
      <c r="G27" s="434"/>
    </row>
    <row r="28" spans="1:7">
      <c r="A28" s="436">
        <v>546</v>
      </c>
      <c r="B28" s="432" t="s">
        <v>143</v>
      </c>
      <c r="C28" s="432"/>
      <c r="D28" s="433">
        <v>105112</v>
      </c>
      <c r="E28" s="434"/>
      <c r="F28" s="434" t="s">
        <v>773</v>
      </c>
      <c r="G28" s="434"/>
    </row>
    <row r="29" spans="1:7">
      <c r="A29" s="436">
        <v>547</v>
      </c>
      <c r="B29" s="432" t="s">
        <v>112</v>
      </c>
      <c r="C29" s="432"/>
      <c r="D29" s="433">
        <v>3541049</v>
      </c>
      <c r="E29" s="434"/>
      <c r="F29" s="434" t="s">
        <v>774</v>
      </c>
      <c r="G29" s="434"/>
    </row>
    <row r="30" spans="1:7">
      <c r="A30" s="437" t="s">
        <v>220</v>
      </c>
      <c r="B30" s="438" t="s">
        <v>149</v>
      </c>
      <c r="C30" s="432"/>
      <c r="D30" s="433">
        <v>456884</v>
      </c>
      <c r="E30" s="434"/>
      <c r="F30" s="434" t="s">
        <v>775</v>
      </c>
      <c r="G30" s="434"/>
    </row>
    <row r="31" spans="1:7">
      <c r="A31" s="437" t="s">
        <v>221</v>
      </c>
      <c r="B31" s="438" t="s">
        <v>150</v>
      </c>
      <c r="C31" s="432"/>
      <c r="D31" s="439">
        <v>15523</v>
      </c>
      <c r="E31" s="434"/>
      <c r="F31" s="434" t="s">
        <v>776</v>
      </c>
      <c r="G31" s="434"/>
    </row>
    <row r="32" spans="1:7">
      <c r="A32" s="431"/>
      <c r="B32" s="432" t="s">
        <v>151</v>
      </c>
      <c r="C32" s="432"/>
      <c r="D32" s="440">
        <f>SUM(D9:D31)</f>
        <v>724747489</v>
      </c>
      <c r="E32" s="432" t="s">
        <v>113</v>
      </c>
      <c r="F32" s="434" t="s">
        <v>113</v>
      </c>
      <c r="G32" s="434"/>
    </row>
    <row r="33" spans="1:9">
      <c r="A33" s="431"/>
      <c r="B33" s="432"/>
      <c r="C33" s="432"/>
      <c r="D33" s="432"/>
      <c r="E33" s="434"/>
      <c r="F33" s="434"/>
      <c r="G33" s="434"/>
    </row>
    <row r="34" spans="1:9">
      <c r="A34" s="431">
        <v>510</v>
      </c>
      <c r="B34" s="438" t="s">
        <v>152</v>
      </c>
      <c r="C34" s="432"/>
      <c r="D34" s="433">
        <v>4600764</v>
      </c>
      <c r="E34" s="434"/>
      <c r="F34" s="434" t="s">
        <v>777</v>
      </c>
      <c r="G34" s="434"/>
    </row>
    <row r="35" spans="1:9">
      <c r="A35" s="431">
        <v>511</v>
      </c>
      <c r="B35" s="432" t="s">
        <v>153</v>
      </c>
      <c r="C35" s="432"/>
      <c r="D35" s="433">
        <v>8136638</v>
      </c>
      <c r="E35" s="434"/>
      <c r="F35" s="434" t="s">
        <v>778</v>
      </c>
      <c r="G35" s="434"/>
      <c r="H35" s="13"/>
      <c r="I35" s="178"/>
    </row>
    <row r="36" spans="1:9">
      <c r="A36" s="431">
        <v>512</v>
      </c>
      <c r="B36" s="432" t="s">
        <v>154</v>
      </c>
      <c r="C36" s="432"/>
      <c r="D36" s="433">
        <v>59832246</v>
      </c>
      <c r="E36" s="434"/>
      <c r="F36" s="434" t="s">
        <v>779</v>
      </c>
      <c r="G36" s="434"/>
      <c r="H36" s="13"/>
      <c r="I36" s="178"/>
    </row>
    <row r="37" spans="1:9">
      <c r="A37" s="431">
        <v>513</v>
      </c>
      <c r="B37" s="432" t="s">
        <v>155</v>
      </c>
      <c r="C37" s="432"/>
      <c r="D37" s="433">
        <v>15711503</v>
      </c>
      <c r="E37" s="434"/>
      <c r="F37" s="434" t="s">
        <v>780</v>
      </c>
      <c r="G37" s="434"/>
      <c r="H37" s="13"/>
      <c r="I37" s="178"/>
    </row>
    <row r="38" spans="1:9">
      <c r="A38" s="431">
        <v>514</v>
      </c>
      <c r="B38" s="432" t="s">
        <v>156</v>
      </c>
      <c r="C38" s="432"/>
      <c r="D38" s="433">
        <v>15353783</v>
      </c>
      <c r="E38" s="434"/>
      <c r="F38" s="434" t="s">
        <v>781</v>
      </c>
      <c r="G38" s="434"/>
      <c r="H38" s="13"/>
      <c r="I38" s="178"/>
    </row>
    <row r="39" spans="1:9">
      <c r="A39" s="431">
        <v>528</v>
      </c>
      <c r="B39" s="432" t="s">
        <v>152</v>
      </c>
      <c r="C39" s="432"/>
      <c r="D39" s="433">
        <v>0</v>
      </c>
      <c r="E39" s="434"/>
      <c r="F39" s="434" t="s">
        <v>782</v>
      </c>
      <c r="G39" s="434"/>
      <c r="H39" s="13"/>
      <c r="I39" s="178"/>
    </row>
    <row r="40" spans="1:9">
      <c r="A40" s="431">
        <v>529</v>
      </c>
      <c r="B40" s="432" t="s">
        <v>153</v>
      </c>
      <c r="C40" s="432"/>
      <c r="D40" s="433">
        <v>0</v>
      </c>
      <c r="E40" s="434"/>
      <c r="F40" s="434" t="s">
        <v>783</v>
      </c>
      <c r="G40" s="434"/>
      <c r="H40" s="13"/>
      <c r="I40" s="178"/>
    </row>
    <row r="41" spans="1:9">
      <c r="A41" s="431">
        <v>530</v>
      </c>
      <c r="B41" s="432" t="s">
        <v>577</v>
      </c>
      <c r="C41" s="432"/>
      <c r="D41" s="433">
        <v>0</v>
      </c>
      <c r="E41" s="434"/>
      <c r="F41" s="434" t="s">
        <v>784</v>
      </c>
      <c r="G41" s="434"/>
      <c r="H41" s="13"/>
      <c r="I41" s="178"/>
    </row>
    <row r="42" spans="1:9">
      <c r="A42" s="431">
        <v>531</v>
      </c>
      <c r="B42" s="432" t="s">
        <v>155</v>
      </c>
      <c r="C42" s="432"/>
      <c r="D42" s="433">
        <v>0</v>
      </c>
      <c r="E42" s="434"/>
      <c r="F42" s="434" t="s">
        <v>785</v>
      </c>
      <c r="G42" s="434"/>
      <c r="H42" s="13"/>
      <c r="I42" s="178"/>
    </row>
    <row r="43" spans="1:9">
      <c r="A43" s="431">
        <v>532</v>
      </c>
      <c r="B43" s="432" t="s">
        <v>578</v>
      </c>
      <c r="C43" s="432"/>
      <c r="D43" s="433">
        <v>0</v>
      </c>
      <c r="E43" s="434"/>
      <c r="F43" s="434" t="s">
        <v>786</v>
      </c>
      <c r="G43" s="434"/>
      <c r="H43" s="13"/>
      <c r="I43" s="178"/>
    </row>
    <row r="44" spans="1:9">
      <c r="A44" s="431">
        <v>541</v>
      </c>
      <c r="B44" s="438" t="s">
        <v>152</v>
      </c>
      <c r="C44" s="432"/>
      <c r="D44" s="433">
        <v>442632</v>
      </c>
      <c r="E44" s="434"/>
      <c r="F44" s="434" t="s">
        <v>787</v>
      </c>
      <c r="G44" s="434"/>
      <c r="H44" s="13"/>
      <c r="I44" s="178"/>
    </row>
    <row r="45" spans="1:9">
      <c r="A45" s="431">
        <v>542</v>
      </c>
      <c r="B45" s="432" t="s">
        <v>153</v>
      </c>
      <c r="C45" s="432"/>
      <c r="D45" s="433">
        <v>3093657</v>
      </c>
      <c r="E45" s="434"/>
      <c r="F45" s="434" t="s">
        <v>788</v>
      </c>
      <c r="G45" s="434"/>
      <c r="H45" s="13"/>
      <c r="I45" s="178"/>
    </row>
    <row r="46" spans="1:9">
      <c r="A46" s="431">
        <v>543</v>
      </c>
      <c r="B46" s="432" t="s">
        <v>507</v>
      </c>
      <c r="C46" s="432"/>
      <c r="D46" s="433">
        <v>2354291</v>
      </c>
      <c r="E46" s="434"/>
      <c r="F46" s="434" t="s">
        <v>789</v>
      </c>
      <c r="G46" s="434"/>
      <c r="H46" s="13"/>
      <c r="I46" s="178"/>
    </row>
    <row r="47" spans="1:9">
      <c r="A47" s="431">
        <v>544</v>
      </c>
      <c r="B47" s="432" t="s">
        <v>155</v>
      </c>
      <c r="C47" s="432"/>
      <c r="D47" s="433">
        <v>2863662</v>
      </c>
      <c r="E47" s="434"/>
      <c r="F47" s="434" t="s">
        <v>790</v>
      </c>
      <c r="G47" s="434"/>
      <c r="H47" s="13"/>
      <c r="I47" s="178"/>
    </row>
    <row r="48" spans="1:9">
      <c r="A48" s="431">
        <v>545</v>
      </c>
      <c r="B48" s="432" t="s">
        <v>508</v>
      </c>
      <c r="C48" s="432"/>
      <c r="D48" s="433">
        <v>429065</v>
      </c>
      <c r="E48" s="434"/>
      <c r="F48" s="434" t="s">
        <v>791</v>
      </c>
      <c r="G48" s="434"/>
      <c r="H48" s="13"/>
      <c r="I48" s="178"/>
    </row>
    <row r="49" spans="1:9">
      <c r="A49" s="431">
        <v>551</v>
      </c>
      <c r="B49" s="432" t="s">
        <v>152</v>
      </c>
      <c r="C49" s="432"/>
      <c r="D49" s="433">
        <v>0</v>
      </c>
      <c r="E49" s="434"/>
      <c r="F49" s="434" t="s">
        <v>792</v>
      </c>
      <c r="G49" s="434"/>
      <c r="H49" s="13"/>
      <c r="I49" s="178"/>
    </row>
    <row r="50" spans="1:9">
      <c r="A50" s="435">
        <v>553</v>
      </c>
      <c r="B50" s="438" t="s">
        <v>222</v>
      </c>
      <c r="C50" s="432"/>
      <c r="D50" s="433">
        <v>1631025</v>
      </c>
      <c r="E50" s="434"/>
      <c r="F50" s="434" t="s">
        <v>793</v>
      </c>
      <c r="G50" s="434"/>
      <c r="H50" s="13"/>
      <c r="I50" s="178"/>
    </row>
    <row r="51" spans="1:9">
      <c r="A51" s="437">
        <v>554</v>
      </c>
      <c r="B51" s="432" t="s">
        <v>223</v>
      </c>
      <c r="C51" s="432"/>
      <c r="D51" s="439">
        <v>0</v>
      </c>
      <c r="E51" s="434"/>
      <c r="F51" s="434" t="s">
        <v>902</v>
      </c>
      <c r="G51" s="434"/>
      <c r="H51" s="13"/>
      <c r="I51" s="178"/>
    </row>
    <row r="52" spans="1:9">
      <c r="A52" s="431"/>
      <c r="B52" s="432" t="s">
        <v>157</v>
      </c>
      <c r="C52" s="432"/>
      <c r="D52" s="432">
        <f>SUM(D34:D51)</f>
        <v>114449266</v>
      </c>
      <c r="E52" s="434"/>
      <c r="F52" s="434" t="s">
        <v>113</v>
      </c>
      <c r="G52" s="434"/>
      <c r="H52" s="13"/>
      <c r="I52" s="178"/>
    </row>
    <row r="53" spans="1:9">
      <c r="A53" s="431"/>
      <c r="B53" s="432"/>
      <c r="C53" s="432"/>
      <c r="D53" s="432" t="s">
        <v>113</v>
      </c>
      <c r="E53" s="434"/>
      <c r="F53" s="434" t="s">
        <v>113</v>
      </c>
      <c r="G53" s="434"/>
      <c r="H53" s="13"/>
      <c r="I53" s="178"/>
    </row>
    <row r="54" spans="1:9">
      <c r="A54" s="441">
        <v>555</v>
      </c>
      <c r="B54" s="432" t="s">
        <v>208</v>
      </c>
      <c r="C54" s="432"/>
      <c r="D54" s="433">
        <v>358217720</v>
      </c>
      <c r="E54" s="434"/>
      <c r="F54" s="434" t="s">
        <v>794</v>
      </c>
      <c r="G54" s="434"/>
      <c r="H54" s="13"/>
      <c r="I54" s="178"/>
    </row>
    <row r="55" spans="1:9">
      <c r="A55" s="431">
        <v>556</v>
      </c>
      <c r="B55" s="432" t="s">
        <v>158</v>
      </c>
      <c r="C55" s="432"/>
      <c r="D55" s="433">
        <v>2016345</v>
      </c>
      <c r="E55" s="434"/>
      <c r="F55" s="434" t="s">
        <v>795</v>
      </c>
      <c r="G55" s="434"/>
      <c r="H55" s="13"/>
      <c r="I55" s="178"/>
    </row>
    <row r="56" spans="1:9">
      <c r="A56" s="431">
        <v>557</v>
      </c>
      <c r="B56" s="432" t="s">
        <v>224</v>
      </c>
      <c r="C56" s="432"/>
      <c r="D56" s="439">
        <v>8409525</v>
      </c>
      <c r="E56" s="434"/>
      <c r="F56" s="434" t="s">
        <v>796</v>
      </c>
      <c r="G56" s="434"/>
      <c r="H56" s="13"/>
      <c r="I56" s="178"/>
    </row>
    <row r="57" spans="1:9">
      <c r="A57" s="434"/>
      <c r="B57" s="432" t="s">
        <v>159</v>
      </c>
      <c r="C57" s="432"/>
      <c r="D57" s="432">
        <f>SUM(D54:D56)</f>
        <v>368643590</v>
      </c>
      <c r="E57" s="434"/>
      <c r="F57" s="434" t="s">
        <v>797</v>
      </c>
      <c r="G57" s="434"/>
      <c r="H57" s="13"/>
      <c r="I57" s="178"/>
    </row>
    <row r="58" spans="1:9">
      <c r="A58" s="434"/>
      <c r="B58" s="432"/>
      <c r="C58" s="432"/>
      <c r="D58" s="432"/>
      <c r="E58" s="434"/>
      <c r="F58" s="434" t="s">
        <v>113</v>
      </c>
      <c r="G58" s="434"/>
      <c r="H58" s="13"/>
      <c r="I58" s="178"/>
    </row>
    <row r="59" spans="1:9">
      <c r="A59" s="434"/>
      <c r="B59" s="432" t="s">
        <v>141</v>
      </c>
      <c r="C59" s="432"/>
      <c r="D59" s="432">
        <f>+D32+D52+D57</f>
        <v>1207840345</v>
      </c>
      <c r="E59" s="434"/>
      <c r="F59" s="434" t="s">
        <v>798</v>
      </c>
      <c r="G59" s="434"/>
      <c r="H59" s="13"/>
      <c r="I59" s="178"/>
    </row>
    <row r="60" spans="1:9">
      <c r="A60" s="434"/>
      <c r="B60" s="432"/>
      <c r="C60" s="432"/>
      <c r="D60" s="432"/>
      <c r="E60" s="434"/>
      <c r="F60" s="434"/>
      <c r="G60" s="434"/>
      <c r="H60" s="13"/>
      <c r="I60" s="178"/>
    </row>
    <row r="61" spans="1:9">
      <c r="A61" s="434"/>
      <c r="B61" s="432"/>
      <c r="C61" s="432"/>
      <c r="D61" s="432"/>
      <c r="E61" s="434"/>
      <c r="F61" s="434"/>
      <c r="G61" s="434"/>
      <c r="H61" s="13"/>
      <c r="I61" s="178"/>
    </row>
    <row r="62" spans="1:9">
      <c r="A62" s="434"/>
      <c r="B62" s="434"/>
      <c r="C62" s="434"/>
      <c r="D62" s="434"/>
      <c r="E62" s="442" t="s">
        <v>113</v>
      </c>
      <c r="F62" s="442" t="s">
        <v>113</v>
      </c>
      <c r="G62" s="434" t="s">
        <v>926</v>
      </c>
      <c r="H62" s="13"/>
      <c r="I62" s="178"/>
    </row>
    <row r="63" spans="1:9">
      <c r="A63" s="743" t="s">
        <v>625</v>
      </c>
      <c r="B63" s="687"/>
      <c r="C63" s="687"/>
      <c r="D63" s="687"/>
      <c r="E63" s="687"/>
      <c r="F63" s="687"/>
      <c r="G63" s="687"/>
      <c r="H63" s="13"/>
      <c r="I63" s="178"/>
    </row>
    <row r="64" spans="1:9">
      <c r="A64" s="687" t="s">
        <v>605</v>
      </c>
      <c r="B64" s="687"/>
      <c r="C64" s="687"/>
      <c r="D64" s="687"/>
      <c r="E64" s="687"/>
      <c r="F64" s="687"/>
      <c r="G64" s="687"/>
      <c r="H64" s="13"/>
      <c r="I64" s="178"/>
    </row>
    <row r="65" spans="1:9">
      <c r="A65" s="743" t="s">
        <v>49</v>
      </c>
      <c r="B65" s="687"/>
      <c r="C65" s="687"/>
      <c r="D65" s="687"/>
      <c r="E65" s="687"/>
      <c r="F65" s="687"/>
      <c r="G65" s="687"/>
      <c r="H65" s="13"/>
      <c r="I65" s="178"/>
    </row>
    <row r="66" spans="1:9">
      <c r="A66" s="744" t="str">
        <f>A5</f>
        <v>For the Year Ended December 31, 2016</v>
      </c>
      <c r="B66" s="687"/>
      <c r="C66" s="687"/>
      <c r="D66" s="687"/>
      <c r="E66" s="687"/>
      <c r="F66" s="687"/>
      <c r="G66" s="687"/>
      <c r="H66" s="13"/>
      <c r="I66" s="178"/>
    </row>
    <row r="67" spans="1:9">
      <c r="A67" s="434"/>
      <c r="B67" s="432"/>
      <c r="C67" s="432"/>
      <c r="D67" s="432"/>
      <c r="E67" s="434"/>
      <c r="F67" s="434" t="s">
        <v>113</v>
      </c>
      <c r="G67" s="434"/>
      <c r="H67" s="13"/>
      <c r="I67" s="178"/>
    </row>
    <row r="68" spans="1:9">
      <c r="A68" s="443" t="s">
        <v>110</v>
      </c>
      <c r="B68" s="432"/>
      <c r="C68" s="432"/>
      <c r="D68" s="432"/>
      <c r="E68" s="434"/>
      <c r="F68" s="434" t="s">
        <v>113</v>
      </c>
      <c r="G68" s="434"/>
      <c r="H68" s="13"/>
      <c r="I68" s="178"/>
    </row>
    <row r="69" spans="1:9">
      <c r="A69" s="431">
        <v>560</v>
      </c>
      <c r="B69" s="432" t="s">
        <v>143</v>
      </c>
      <c r="C69" s="432"/>
      <c r="D69" s="433">
        <v>8778526</v>
      </c>
      <c r="E69" s="434"/>
      <c r="F69" s="434" t="s">
        <v>799</v>
      </c>
      <c r="G69" s="434"/>
      <c r="H69" s="13"/>
      <c r="I69" s="178"/>
    </row>
    <row r="70" spans="1:9">
      <c r="A70" s="444">
        <v>561.1</v>
      </c>
      <c r="B70" s="432" t="s">
        <v>554</v>
      </c>
      <c r="C70" s="432"/>
      <c r="D70" s="433">
        <v>34707</v>
      </c>
      <c r="E70" s="434"/>
      <c r="F70" s="434" t="s">
        <v>800</v>
      </c>
      <c r="G70" s="434"/>
      <c r="H70" s="13"/>
      <c r="I70" s="178"/>
    </row>
    <row r="71" spans="1:9">
      <c r="A71" s="444">
        <v>561.20000000000005</v>
      </c>
      <c r="B71" s="432" t="s">
        <v>555</v>
      </c>
      <c r="C71" s="432"/>
      <c r="D71" s="433">
        <v>3238880</v>
      </c>
      <c r="E71" s="434"/>
      <c r="F71" s="434" t="s">
        <v>801</v>
      </c>
      <c r="G71" s="434"/>
      <c r="H71" s="13"/>
      <c r="I71" s="178"/>
    </row>
    <row r="72" spans="1:9">
      <c r="A72" s="444">
        <v>561.29999999999995</v>
      </c>
      <c r="B72" s="432" t="s">
        <v>556</v>
      </c>
      <c r="C72" s="432"/>
      <c r="D72" s="433">
        <v>0</v>
      </c>
      <c r="E72" s="434"/>
      <c r="F72" s="434" t="s">
        <v>802</v>
      </c>
      <c r="G72" s="434"/>
      <c r="H72" s="13"/>
      <c r="I72" s="178"/>
    </row>
    <row r="73" spans="1:9">
      <c r="A73" s="444">
        <v>561.4</v>
      </c>
      <c r="B73" s="432" t="s">
        <v>557</v>
      </c>
      <c r="C73" s="432"/>
      <c r="D73" s="433">
        <v>6007177</v>
      </c>
      <c r="E73" s="434"/>
      <c r="F73" s="434" t="s">
        <v>803</v>
      </c>
      <c r="G73" s="434"/>
      <c r="H73" s="13"/>
      <c r="I73" s="178"/>
    </row>
    <row r="74" spans="1:9">
      <c r="A74" s="444">
        <v>561.5</v>
      </c>
      <c r="B74" s="432" t="s">
        <v>558</v>
      </c>
      <c r="C74" s="432"/>
      <c r="D74" s="433">
        <v>486908</v>
      </c>
      <c r="E74" s="434"/>
      <c r="F74" s="434" t="s">
        <v>804</v>
      </c>
      <c r="G74" s="434"/>
      <c r="H74" s="13"/>
      <c r="I74" s="178"/>
    </row>
    <row r="75" spans="1:9">
      <c r="A75" s="444">
        <v>561.6</v>
      </c>
      <c r="B75" s="432" t="s">
        <v>559</v>
      </c>
      <c r="C75" s="432"/>
      <c r="D75" s="433">
        <v>0</v>
      </c>
      <c r="E75" s="434"/>
      <c r="F75" s="434" t="s">
        <v>805</v>
      </c>
      <c r="G75" s="434"/>
      <c r="H75" s="13"/>
      <c r="I75" s="178"/>
    </row>
    <row r="76" spans="1:9">
      <c r="A76" s="444">
        <v>561.70000000000005</v>
      </c>
      <c r="B76" s="432" t="s">
        <v>560</v>
      </c>
      <c r="C76" s="432"/>
      <c r="D76" s="433">
        <v>0</v>
      </c>
      <c r="E76" s="434"/>
      <c r="F76" s="434" t="s">
        <v>806</v>
      </c>
      <c r="G76" s="434"/>
      <c r="H76" s="13"/>
      <c r="I76" s="178"/>
    </row>
    <row r="77" spans="1:9">
      <c r="A77" s="444">
        <v>561.79999999999995</v>
      </c>
      <c r="B77" s="432" t="s">
        <v>558</v>
      </c>
      <c r="C77" s="432"/>
      <c r="D77" s="433">
        <v>1550870</v>
      </c>
      <c r="E77" s="434"/>
      <c r="F77" s="434" t="s">
        <v>807</v>
      </c>
      <c r="G77" s="434"/>
      <c r="H77" s="13"/>
      <c r="I77" s="178"/>
    </row>
    <row r="78" spans="1:9">
      <c r="A78" s="431">
        <v>562</v>
      </c>
      <c r="B78" s="432" t="s">
        <v>161</v>
      </c>
      <c r="C78" s="432"/>
      <c r="D78" s="433">
        <v>1447295</v>
      </c>
      <c r="E78" s="434"/>
      <c r="F78" s="434" t="s">
        <v>808</v>
      </c>
      <c r="G78" s="434"/>
      <c r="H78" s="13"/>
      <c r="I78" s="178"/>
    </row>
    <row r="79" spans="1:9">
      <c r="A79" s="431">
        <v>563</v>
      </c>
      <c r="B79" s="432" t="s">
        <v>162</v>
      </c>
      <c r="C79" s="432"/>
      <c r="D79" s="433">
        <v>105864</v>
      </c>
      <c r="E79" s="434"/>
      <c r="F79" s="434" t="s">
        <v>809</v>
      </c>
      <c r="G79" s="434"/>
      <c r="H79" s="13"/>
      <c r="I79" s="178"/>
    </row>
    <row r="80" spans="1:9">
      <c r="A80" s="437" t="s">
        <v>225</v>
      </c>
      <c r="B80" s="432" t="s">
        <v>163</v>
      </c>
      <c r="C80" s="432"/>
      <c r="D80" s="433">
        <v>0</v>
      </c>
      <c r="E80" s="434"/>
      <c r="F80" s="434" t="s">
        <v>810</v>
      </c>
      <c r="G80" s="434"/>
      <c r="H80" s="13"/>
      <c r="I80" s="178"/>
    </row>
    <row r="81" spans="1:9">
      <c r="A81" s="431">
        <v>565</v>
      </c>
      <c r="B81" s="432" t="s">
        <v>164</v>
      </c>
      <c r="C81" s="432"/>
      <c r="D81" s="433">
        <v>131660618</v>
      </c>
      <c r="E81" s="434"/>
      <c r="F81" s="434" t="s">
        <v>811</v>
      </c>
      <c r="G81" s="434"/>
      <c r="H81" s="13"/>
      <c r="I81" s="178"/>
    </row>
    <row r="82" spans="1:9">
      <c r="A82" s="431">
        <v>566</v>
      </c>
      <c r="B82" s="432" t="s">
        <v>165</v>
      </c>
      <c r="C82" s="432"/>
      <c r="D82" s="433">
        <v>42434077</v>
      </c>
      <c r="E82" s="434"/>
      <c r="F82" s="434" t="s">
        <v>812</v>
      </c>
      <c r="G82" s="434"/>
      <c r="H82" s="13"/>
      <c r="I82" s="178"/>
    </row>
    <row r="83" spans="1:9">
      <c r="A83" s="431">
        <v>567</v>
      </c>
      <c r="B83" s="432" t="s">
        <v>147</v>
      </c>
      <c r="C83" s="432"/>
      <c r="D83" s="439">
        <v>48163</v>
      </c>
      <c r="E83" s="434"/>
      <c r="F83" s="434" t="s">
        <v>813</v>
      </c>
      <c r="G83" s="434"/>
      <c r="H83" s="13"/>
      <c r="I83" s="178"/>
    </row>
    <row r="84" spans="1:9">
      <c r="A84" s="431"/>
      <c r="B84" s="432" t="s">
        <v>151</v>
      </c>
      <c r="C84" s="432"/>
      <c r="D84" s="440">
        <f>SUM(D69:D83)</f>
        <v>195793085</v>
      </c>
      <c r="E84" s="434"/>
      <c r="F84" s="434" t="s">
        <v>814</v>
      </c>
      <c r="G84" s="434"/>
      <c r="H84" s="13"/>
      <c r="I84" s="178"/>
    </row>
    <row r="85" spans="1:9">
      <c r="A85" s="431"/>
      <c r="B85" s="432"/>
      <c r="C85" s="432"/>
      <c r="D85" s="432"/>
      <c r="E85" s="434"/>
      <c r="F85" s="434" t="s">
        <v>113</v>
      </c>
      <c r="G85" s="434"/>
      <c r="H85" s="13"/>
      <c r="I85" s="178"/>
    </row>
    <row r="86" spans="1:9">
      <c r="A86" s="431">
        <v>568</v>
      </c>
      <c r="B86" s="438" t="s">
        <v>152</v>
      </c>
      <c r="C86" s="432"/>
      <c r="D86" s="433">
        <v>263020</v>
      </c>
      <c r="E86" s="434"/>
      <c r="F86" s="434" t="s">
        <v>815</v>
      </c>
      <c r="G86" s="434"/>
      <c r="H86" s="13"/>
      <c r="I86" s="178"/>
    </row>
    <row r="87" spans="1:9">
      <c r="A87" s="431">
        <v>569</v>
      </c>
      <c r="B87" s="432" t="s">
        <v>153</v>
      </c>
      <c r="C87" s="432"/>
      <c r="D87" s="433">
        <v>92921</v>
      </c>
      <c r="E87" s="434"/>
      <c r="F87" s="434" t="s">
        <v>816</v>
      </c>
      <c r="G87" s="434"/>
      <c r="H87" s="13"/>
      <c r="I87" s="178"/>
    </row>
    <row r="88" spans="1:9">
      <c r="A88" s="444">
        <v>569.1</v>
      </c>
      <c r="B88" s="432" t="s">
        <v>574</v>
      </c>
      <c r="C88" s="432"/>
      <c r="D88" s="433">
        <v>5642</v>
      </c>
      <c r="E88" s="434"/>
      <c r="F88" s="434" t="s">
        <v>817</v>
      </c>
      <c r="G88" s="434"/>
      <c r="H88" s="13"/>
      <c r="I88" s="178"/>
    </row>
    <row r="89" spans="1:9">
      <c r="A89" s="444">
        <v>569.20000000000005</v>
      </c>
      <c r="B89" s="432" t="s">
        <v>575</v>
      </c>
      <c r="C89" s="432"/>
      <c r="D89" s="433">
        <v>449581</v>
      </c>
      <c r="E89" s="434"/>
      <c r="F89" s="434" t="s">
        <v>818</v>
      </c>
      <c r="G89" s="434"/>
      <c r="H89" s="13"/>
      <c r="I89" s="178"/>
    </row>
    <row r="90" spans="1:9">
      <c r="A90" s="444">
        <v>569.29999999999995</v>
      </c>
      <c r="B90" s="432" t="s">
        <v>576</v>
      </c>
      <c r="C90" s="432"/>
      <c r="D90" s="433">
        <v>36671</v>
      </c>
      <c r="E90" s="434"/>
      <c r="F90" s="434" t="s">
        <v>819</v>
      </c>
      <c r="G90" s="434"/>
      <c r="H90" s="13"/>
      <c r="I90" s="178"/>
    </row>
    <row r="91" spans="1:9">
      <c r="A91" s="431">
        <v>570</v>
      </c>
      <c r="B91" s="438" t="s">
        <v>166</v>
      </c>
      <c r="C91" s="432"/>
      <c r="D91" s="433">
        <v>3988168</v>
      </c>
      <c r="E91" s="434"/>
      <c r="F91" s="434" t="s">
        <v>820</v>
      </c>
      <c r="G91" s="434"/>
      <c r="H91" s="13"/>
      <c r="I91" s="178"/>
    </row>
    <row r="92" spans="1:9">
      <c r="A92" s="431">
        <v>571</v>
      </c>
      <c r="B92" s="438" t="s">
        <v>167</v>
      </c>
      <c r="C92" s="432"/>
      <c r="D92" s="433">
        <v>14396222</v>
      </c>
      <c r="E92" s="434"/>
      <c r="F92" s="434" t="s">
        <v>821</v>
      </c>
      <c r="G92" s="434"/>
      <c r="H92" s="13"/>
      <c r="I92" s="178"/>
    </row>
    <row r="93" spans="1:9">
      <c r="A93" s="437" t="s">
        <v>226</v>
      </c>
      <c r="B93" s="438" t="s">
        <v>174</v>
      </c>
      <c r="C93" s="432"/>
      <c r="D93" s="433">
        <v>166</v>
      </c>
      <c r="E93" s="434"/>
      <c r="F93" s="434" t="s">
        <v>822</v>
      </c>
      <c r="G93" s="434"/>
      <c r="H93" s="13"/>
      <c r="I93" s="178"/>
    </row>
    <row r="94" spans="1:9">
      <c r="A94" s="431">
        <v>573</v>
      </c>
      <c r="B94" s="438" t="s">
        <v>168</v>
      </c>
      <c r="C94" s="432"/>
      <c r="D94" s="439">
        <v>1814500</v>
      </c>
      <c r="E94" s="434"/>
      <c r="F94" s="434" t="s">
        <v>823</v>
      </c>
      <c r="G94" s="434"/>
      <c r="H94" s="13"/>
      <c r="I94" s="178"/>
    </row>
    <row r="95" spans="1:9">
      <c r="A95" s="432"/>
      <c r="B95" s="432" t="s">
        <v>157</v>
      </c>
      <c r="C95" s="432"/>
      <c r="D95" s="432">
        <f>SUM(D86:D94)</f>
        <v>21046891</v>
      </c>
      <c r="E95" s="434"/>
      <c r="F95" s="434" t="s">
        <v>824</v>
      </c>
      <c r="G95" s="434"/>
      <c r="H95" s="13"/>
      <c r="I95" s="178"/>
    </row>
    <row r="96" spans="1:9">
      <c r="A96" s="432"/>
      <c r="B96" s="432"/>
      <c r="C96" s="432"/>
      <c r="D96" s="432"/>
      <c r="E96" s="434"/>
      <c r="F96" s="434" t="s">
        <v>113</v>
      </c>
      <c r="G96" s="434"/>
      <c r="H96" s="13"/>
      <c r="I96" s="178"/>
    </row>
    <row r="97" spans="1:9">
      <c r="A97" s="432"/>
      <c r="B97" s="432" t="s">
        <v>169</v>
      </c>
      <c r="C97" s="432"/>
      <c r="D97" s="432">
        <f>+D84+D95</f>
        <v>216839976</v>
      </c>
      <c r="E97" s="434"/>
      <c r="F97" s="434" t="s">
        <v>825</v>
      </c>
      <c r="G97" s="434"/>
      <c r="H97" s="13"/>
      <c r="I97" s="178"/>
    </row>
    <row r="98" spans="1:9">
      <c r="A98" s="432"/>
      <c r="B98" s="432"/>
      <c r="C98" s="432"/>
      <c r="D98" s="432"/>
      <c r="E98" s="434"/>
      <c r="F98" s="434" t="s">
        <v>113</v>
      </c>
      <c r="G98" s="434"/>
      <c r="H98" s="13"/>
      <c r="I98" s="178"/>
    </row>
    <row r="99" spans="1:9">
      <c r="A99" s="443" t="s">
        <v>509</v>
      </c>
      <c r="B99" s="432"/>
      <c r="C99" s="432"/>
      <c r="D99" s="432"/>
      <c r="E99" s="434"/>
      <c r="F99" s="434" t="s">
        <v>113</v>
      </c>
      <c r="G99" s="434"/>
      <c r="H99" s="13"/>
      <c r="I99" s="178"/>
    </row>
    <row r="100" spans="1:9">
      <c r="A100" s="444">
        <v>575.70000000000005</v>
      </c>
      <c r="B100" s="432" t="s">
        <v>510</v>
      </c>
      <c r="C100" s="432"/>
      <c r="D100" s="433">
        <v>5154463</v>
      </c>
      <c r="E100" s="434"/>
      <c r="F100" s="434" t="s">
        <v>826</v>
      </c>
      <c r="G100" s="434"/>
      <c r="H100" s="13"/>
      <c r="I100" s="178"/>
    </row>
    <row r="101" spans="1:9">
      <c r="A101" s="432"/>
      <c r="B101" s="432"/>
      <c r="C101" s="432"/>
      <c r="D101" s="432"/>
      <c r="E101" s="434"/>
      <c r="F101" s="434" t="s">
        <v>113</v>
      </c>
      <c r="G101" s="434"/>
      <c r="H101" s="13"/>
      <c r="I101" s="178"/>
    </row>
    <row r="102" spans="1:9">
      <c r="A102" s="443" t="s">
        <v>111</v>
      </c>
      <c r="B102" s="432"/>
      <c r="C102" s="432"/>
      <c r="D102" s="432"/>
      <c r="E102" s="434"/>
      <c r="F102" s="434" t="s">
        <v>113</v>
      </c>
      <c r="G102" s="434"/>
      <c r="H102" s="13"/>
      <c r="I102" s="178"/>
    </row>
    <row r="103" spans="1:9">
      <c r="A103" s="445">
        <v>580</v>
      </c>
      <c r="B103" s="432" t="s">
        <v>143</v>
      </c>
      <c r="C103" s="432"/>
      <c r="D103" s="433">
        <v>4327180</v>
      </c>
      <c r="E103" s="434"/>
      <c r="F103" s="434" t="s">
        <v>827</v>
      </c>
      <c r="G103" s="434"/>
      <c r="H103" s="13"/>
      <c r="I103" s="178"/>
    </row>
    <row r="104" spans="1:9" ht="12" customHeight="1">
      <c r="A104" s="445">
        <v>581</v>
      </c>
      <c r="B104" s="432" t="s">
        <v>160</v>
      </c>
      <c r="C104" s="432"/>
      <c r="D104" s="433">
        <v>44915</v>
      </c>
      <c r="E104" s="434"/>
      <c r="F104" s="434" t="s">
        <v>828</v>
      </c>
      <c r="G104" s="434"/>
      <c r="H104" s="13"/>
      <c r="I104" s="178"/>
    </row>
    <row r="105" spans="1:9">
      <c r="A105" s="445">
        <v>582</v>
      </c>
      <c r="B105" s="432" t="s">
        <v>161</v>
      </c>
      <c r="C105" s="432"/>
      <c r="D105" s="433">
        <v>1212483</v>
      </c>
      <c r="E105" s="434"/>
      <c r="F105" s="434" t="s">
        <v>829</v>
      </c>
      <c r="G105" s="434"/>
      <c r="H105" s="13"/>
      <c r="I105" s="178"/>
    </row>
    <row r="106" spans="1:9">
      <c r="A106" s="445">
        <v>583</v>
      </c>
      <c r="B106" s="432" t="s">
        <v>162</v>
      </c>
      <c r="C106" s="432"/>
      <c r="D106" s="433">
        <v>3269277</v>
      </c>
      <c r="E106" s="434"/>
      <c r="F106" s="434" t="s">
        <v>830</v>
      </c>
      <c r="G106" s="434"/>
      <c r="H106" s="13"/>
      <c r="I106" s="178"/>
    </row>
    <row r="107" spans="1:9">
      <c r="A107" s="445">
        <v>584</v>
      </c>
      <c r="B107" s="432" t="s">
        <v>163</v>
      </c>
      <c r="C107" s="432"/>
      <c r="D107" s="433">
        <v>1048405</v>
      </c>
      <c r="E107" s="434"/>
      <c r="F107" s="434" t="s">
        <v>831</v>
      </c>
      <c r="G107" s="434"/>
      <c r="H107" s="13"/>
      <c r="I107" s="178"/>
    </row>
    <row r="108" spans="1:9">
      <c r="A108" s="445">
        <v>585</v>
      </c>
      <c r="B108" s="432" t="s">
        <v>170</v>
      </c>
      <c r="C108" s="432"/>
      <c r="D108" s="433">
        <v>138280</v>
      </c>
      <c r="E108" s="434"/>
      <c r="F108" s="434" t="s">
        <v>832</v>
      </c>
      <c r="G108" s="434"/>
      <c r="H108" s="13"/>
      <c r="I108" s="178"/>
    </row>
    <row r="109" spans="1:9">
      <c r="A109" s="445">
        <v>586</v>
      </c>
      <c r="B109" s="432" t="s">
        <v>171</v>
      </c>
      <c r="C109" s="432"/>
      <c r="D109" s="433">
        <v>1116148</v>
      </c>
      <c r="E109" s="434"/>
      <c r="F109" s="434" t="s">
        <v>833</v>
      </c>
      <c r="G109" s="434"/>
      <c r="H109" s="13"/>
      <c r="I109" s="178"/>
    </row>
    <row r="110" spans="1:9">
      <c r="A110" s="445">
        <v>587</v>
      </c>
      <c r="B110" s="432" t="s">
        <v>172</v>
      </c>
      <c r="C110" s="432"/>
      <c r="D110" s="433">
        <v>962979</v>
      </c>
      <c r="E110" s="434"/>
      <c r="F110" s="434" t="s">
        <v>834</v>
      </c>
      <c r="G110" s="434"/>
      <c r="H110" s="13"/>
      <c r="I110" s="178"/>
    </row>
    <row r="111" spans="1:9">
      <c r="A111" s="445">
        <v>588</v>
      </c>
      <c r="B111" s="432" t="s">
        <v>173</v>
      </c>
      <c r="C111" s="432"/>
      <c r="D111" s="433">
        <v>17578689</v>
      </c>
      <c r="E111" s="434"/>
      <c r="F111" s="434" t="s">
        <v>835</v>
      </c>
      <c r="G111" s="434"/>
      <c r="H111" s="13"/>
      <c r="I111" s="178"/>
    </row>
    <row r="112" spans="1:9">
      <c r="A112" s="445">
        <v>589</v>
      </c>
      <c r="B112" s="432" t="s">
        <v>147</v>
      </c>
      <c r="C112" s="432"/>
      <c r="D112" s="439">
        <v>1476632</v>
      </c>
      <c r="E112" s="434"/>
      <c r="F112" s="434" t="s">
        <v>836</v>
      </c>
      <c r="G112" s="434"/>
      <c r="H112" s="13"/>
      <c r="I112" s="178"/>
    </row>
    <row r="113" spans="1:9">
      <c r="A113" s="445"/>
      <c r="B113" s="432" t="s">
        <v>151</v>
      </c>
      <c r="C113" s="432"/>
      <c r="D113" s="432">
        <f>SUM(D103:D112)</f>
        <v>31174988</v>
      </c>
      <c r="E113" s="434"/>
      <c r="F113" s="434" t="s">
        <v>837</v>
      </c>
      <c r="G113" s="434"/>
      <c r="H113" s="13"/>
      <c r="I113" s="178"/>
    </row>
    <row r="114" spans="1:9">
      <c r="A114" s="434"/>
      <c r="B114" s="434"/>
      <c r="C114" s="434"/>
      <c r="D114" s="434"/>
      <c r="E114" s="442" t="s">
        <v>113</v>
      </c>
      <c r="F114" s="442" t="s">
        <v>113</v>
      </c>
      <c r="G114" s="434" t="s">
        <v>927</v>
      </c>
      <c r="H114" s="13"/>
      <c r="I114" s="178"/>
    </row>
    <row r="115" spans="1:9">
      <c r="A115" s="743" t="s">
        <v>625</v>
      </c>
      <c r="B115" s="687"/>
      <c r="C115" s="687"/>
      <c r="D115" s="687"/>
      <c r="E115" s="687"/>
      <c r="F115" s="687"/>
      <c r="G115" s="687"/>
      <c r="H115" s="13"/>
      <c r="I115" s="178"/>
    </row>
    <row r="116" spans="1:9">
      <c r="A116" s="687" t="s">
        <v>605</v>
      </c>
      <c r="B116" s="687"/>
      <c r="C116" s="687"/>
      <c r="D116" s="687"/>
      <c r="E116" s="687"/>
      <c r="F116" s="687"/>
      <c r="G116" s="687"/>
      <c r="H116" s="13"/>
      <c r="I116" s="178"/>
    </row>
    <row r="117" spans="1:9">
      <c r="A117" s="743" t="s">
        <v>49</v>
      </c>
      <c r="B117" s="687"/>
      <c r="C117" s="687"/>
      <c r="D117" s="687"/>
      <c r="E117" s="687"/>
      <c r="F117" s="687"/>
      <c r="G117" s="687"/>
      <c r="H117" s="13"/>
      <c r="I117" s="178"/>
    </row>
    <row r="118" spans="1:9">
      <c r="A118" s="744" t="str">
        <f>A5</f>
        <v>For the Year Ended December 31, 2016</v>
      </c>
      <c r="B118" s="687"/>
      <c r="C118" s="687"/>
      <c r="D118" s="687"/>
      <c r="E118" s="687"/>
      <c r="F118" s="687"/>
      <c r="G118" s="687"/>
      <c r="H118" s="13"/>
      <c r="I118" s="178"/>
    </row>
    <row r="119" spans="1:9">
      <c r="A119" s="445"/>
      <c r="B119" s="432"/>
      <c r="C119" s="432"/>
      <c r="D119" s="432"/>
      <c r="E119" s="434"/>
      <c r="F119" s="434"/>
      <c r="G119" s="434"/>
      <c r="H119" s="13"/>
      <c r="I119" s="178"/>
    </row>
    <row r="120" spans="1:9">
      <c r="A120" s="445">
        <v>590</v>
      </c>
      <c r="B120" s="438" t="s">
        <v>152</v>
      </c>
      <c r="C120" s="432"/>
      <c r="D120" s="433">
        <v>177837</v>
      </c>
      <c r="E120" s="434"/>
      <c r="F120" s="434" t="s">
        <v>838</v>
      </c>
      <c r="G120" s="434"/>
      <c r="H120" s="13"/>
      <c r="I120" s="178"/>
    </row>
    <row r="121" spans="1:9">
      <c r="A121" s="445">
        <v>591</v>
      </c>
      <c r="B121" s="432" t="s">
        <v>153</v>
      </c>
      <c r="C121" s="432"/>
      <c r="D121" s="433">
        <v>228174</v>
      </c>
      <c r="E121" s="434"/>
      <c r="F121" s="434" t="s">
        <v>839</v>
      </c>
      <c r="G121" s="434"/>
      <c r="H121" s="13"/>
      <c r="I121" s="178"/>
    </row>
    <row r="122" spans="1:9">
      <c r="A122" s="445">
        <v>592</v>
      </c>
      <c r="B122" s="438" t="s">
        <v>166</v>
      </c>
      <c r="C122" s="432"/>
      <c r="D122" s="433">
        <v>1846478</v>
      </c>
      <c r="E122" s="434"/>
      <c r="F122" s="434" t="s">
        <v>840</v>
      </c>
      <c r="G122" s="434"/>
      <c r="H122" s="13"/>
      <c r="I122" s="178"/>
    </row>
    <row r="123" spans="1:9">
      <c r="A123" s="445">
        <v>593</v>
      </c>
      <c r="B123" s="438" t="s">
        <v>167</v>
      </c>
      <c r="C123" s="432"/>
      <c r="D123" s="433">
        <v>116697455</v>
      </c>
      <c r="E123" s="434"/>
      <c r="F123" s="434" t="s">
        <v>841</v>
      </c>
      <c r="G123" s="434"/>
      <c r="H123" s="13"/>
      <c r="I123" s="178"/>
    </row>
    <row r="124" spans="1:9">
      <c r="A124" s="445">
        <v>594</v>
      </c>
      <c r="B124" s="438" t="s">
        <v>174</v>
      </c>
      <c r="C124" s="432"/>
      <c r="D124" s="433">
        <v>1507805</v>
      </c>
      <c r="E124" s="434"/>
      <c r="F124" s="434" t="s">
        <v>842</v>
      </c>
      <c r="G124" s="434"/>
      <c r="H124" s="13"/>
      <c r="I124" s="178"/>
    </row>
    <row r="125" spans="1:9">
      <c r="A125" s="445">
        <v>595</v>
      </c>
      <c r="B125" s="432" t="s">
        <v>175</v>
      </c>
      <c r="C125" s="432"/>
      <c r="D125" s="433">
        <v>2065919</v>
      </c>
      <c r="E125" s="434"/>
      <c r="F125" s="434" t="s">
        <v>843</v>
      </c>
      <c r="G125" s="434"/>
      <c r="H125" s="13"/>
      <c r="I125" s="178"/>
    </row>
    <row r="126" spans="1:9">
      <c r="A126" s="445">
        <v>596</v>
      </c>
      <c r="B126" s="432" t="s">
        <v>176</v>
      </c>
      <c r="C126" s="432"/>
      <c r="D126" s="433">
        <v>323620</v>
      </c>
      <c r="E126" s="434"/>
      <c r="F126" s="434" t="s">
        <v>844</v>
      </c>
      <c r="G126" s="434"/>
      <c r="H126" s="13"/>
      <c r="I126" s="178"/>
    </row>
    <row r="127" spans="1:9">
      <c r="A127" s="445">
        <v>597</v>
      </c>
      <c r="B127" s="432" t="s">
        <v>177</v>
      </c>
      <c r="C127" s="432"/>
      <c r="D127" s="433">
        <v>499124</v>
      </c>
      <c r="E127" s="434"/>
      <c r="F127" s="434" t="s">
        <v>845</v>
      </c>
      <c r="G127" s="434"/>
      <c r="H127" s="13"/>
      <c r="I127" s="178"/>
    </row>
    <row r="128" spans="1:9">
      <c r="A128" s="445">
        <v>598</v>
      </c>
      <c r="B128" s="432" t="s">
        <v>178</v>
      </c>
      <c r="C128" s="432"/>
      <c r="D128" s="439">
        <v>4188077</v>
      </c>
      <c r="E128" s="434"/>
      <c r="F128" s="434" t="s">
        <v>846</v>
      </c>
      <c r="G128" s="434"/>
      <c r="H128" s="13"/>
      <c r="I128" s="178"/>
    </row>
    <row r="129" spans="1:9">
      <c r="A129" s="432"/>
      <c r="B129" s="432" t="s">
        <v>157</v>
      </c>
      <c r="C129" s="432"/>
      <c r="D129" s="432">
        <f>SUM(D120:D128)</f>
        <v>127534489</v>
      </c>
      <c r="E129" s="434"/>
      <c r="F129" s="434" t="s">
        <v>847</v>
      </c>
      <c r="G129" s="434"/>
      <c r="H129" s="13"/>
      <c r="I129" s="178"/>
    </row>
    <row r="130" spans="1:9">
      <c r="A130" s="432"/>
      <c r="B130" s="432"/>
      <c r="C130" s="432"/>
      <c r="D130" s="432"/>
      <c r="E130" s="434"/>
      <c r="F130" s="434" t="s">
        <v>113</v>
      </c>
      <c r="G130" s="434"/>
      <c r="H130" s="13"/>
      <c r="I130" s="178"/>
    </row>
    <row r="131" spans="1:9">
      <c r="A131" s="432"/>
      <c r="B131" s="432" t="s">
        <v>179</v>
      </c>
      <c r="C131" s="432"/>
      <c r="D131" s="432">
        <f>+D113+D129</f>
        <v>158709477</v>
      </c>
      <c r="E131" s="434"/>
      <c r="F131" s="434" t="s">
        <v>848</v>
      </c>
      <c r="G131" s="434"/>
      <c r="H131" s="13"/>
      <c r="I131" s="178"/>
    </row>
    <row r="132" spans="1:9">
      <c r="A132" s="432"/>
      <c r="B132" s="432"/>
      <c r="C132" s="432"/>
      <c r="D132" s="432"/>
      <c r="E132" s="434"/>
      <c r="F132" s="434" t="s">
        <v>113</v>
      </c>
      <c r="G132" s="434"/>
      <c r="H132" s="13"/>
      <c r="I132" s="178"/>
    </row>
    <row r="133" spans="1:9">
      <c r="A133" s="434"/>
      <c r="B133" s="432"/>
      <c r="C133" s="432"/>
      <c r="D133" s="432"/>
      <c r="E133" s="434"/>
      <c r="F133" s="434" t="s">
        <v>113</v>
      </c>
      <c r="G133" s="434"/>
      <c r="H133" s="13"/>
      <c r="I133" s="178"/>
    </row>
    <row r="134" spans="1:9">
      <c r="A134" s="443" t="s">
        <v>137</v>
      </c>
      <c r="B134" s="432"/>
      <c r="C134" s="432"/>
      <c r="D134" s="432"/>
      <c r="E134" s="434"/>
      <c r="F134" s="434" t="s">
        <v>113</v>
      </c>
      <c r="G134" s="434"/>
      <c r="H134" s="13"/>
      <c r="I134" s="178"/>
    </row>
    <row r="135" spans="1:9">
      <c r="A135" s="445">
        <v>901</v>
      </c>
      <c r="B135" s="432" t="s">
        <v>180</v>
      </c>
      <c r="C135" s="432"/>
      <c r="D135" s="433">
        <v>918630</v>
      </c>
      <c r="E135" s="434"/>
      <c r="F135" s="434" t="s">
        <v>849</v>
      </c>
      <c r="G135" s="434"/>
      <c r="H135" s="13"/>
      <c r="I135" s="178"/>
    </row>
    <row r="136" spans="1:9">
      <c r="A136" s="445">
        <v>902</v>
      </c>
      <c r="B136" s="432" t="s">
        <v>181</v>
      </c>
      <c r="C136" s="432"/>
      <c r="D136" s="433">
        <v>4253954</v>
      </c>
      <c r="E136" s="434"/>
      <c r="F136" s="434" t="s">
        <v>850</v>
      </c>
      <c r="G136" s="434"/>
      <c r="H136" s="13"/>
      <c r="I136" s="178"/>
    </row>
    <row r="137" spans="1:9">
      <c r="A137" s="445">
        <v>903</v>
      </c>
      <c r="B137" s="432" t="s">
        <v>182</v>
      </c>
      <c r="C137" s="432"/>
      <c r="D137" s="433">
        <v>25940629</v>
      </c>
      <c r="E137" s="434"/>
      <c r="F137" s="434" t="s">
        <v>851</v>
      </c>
      <c r="G137" s="434"/>
      <c r="H137" s="13"/>
      <c r="I137" s="178"/>
    </row>
    <row r="138" spans="1:9">
      <c r="A138" s="445">
        <v>904</v>
      </c>
      <c r="B138" s="432" t="s">
        <v>183</v>
      </c>
      <c r="C138" s="432"/>
      <c r="D138" s="433">
        <v>6604784</v>
      </c>
      <c r="E138" s="434"/>
      <c r="F138" s="434" t="s">
        <v>852</v>
      </c>
      <c r="G138" s="434"/>
      <c r="H138" s="13"/>
      <c r="I138" s="178"/>
    </row>
    <row r="139" spans="1:9">
      <c r="A139" s="445">
        <v>905</v>
      </c>
      <c r="B139" s="432" t="s">
        <v>184</v>
      </c>
      <c r="C139" s="432"/>
      <c r="D139" s="439">
        <v>82663</v>
      </c>
      <c r="E139" s="434"/>
      <c r="F139" s="434" t="s">
        <v>853</v>
      </c>
      <c r="G139" s="434"/>
      <c r="H139" s="13"/>
      <c r="I139" s="178"/>
    </row>
    <row r="140" spans="1:9">
      <c r="A140" s="432"/>
      <c r="B140" s="432" t="s">
        <v>185</v>
      </c>
      <c r="C140" s="432"/>
      <c r="D140" s="432">
        <f>SUM(D135:D139)</f>
        <v>37800660</v>
      </c>
      <c r="E140" s="434"/>
      <c r="F140" s="434" t="s">
        <v>854</v>
      </c>
      <c r="G140" s="434"/>
      <c r="H140" s="13"/>
      <c r="I140" s="178"/>
    </row>
    <row r="141" spans="1:9">
      <c r="A141" s="432"/>
      <c r="B141" s="432"/>
      <c r="C141" s="432"/>
      <c r="D141" s="432"/>
      <c r="E141" s="434"/>
      <c r="F141" s="434" t="s">
        <v>113</v>
      </c>
      <c r="G141" s="434"/>
      <c r="H141" s="13"/>
      <c r="I141" s="178"/>
    </row>
    <row r="142" spans="1:9">
      <c r="A142" s="443" t="s">
        <v>217</v>
      </c>
      <c r="B142" s="432"/>
      <c r="C142" s="432"/>
      <c r="D142" s="432"/>
      <c r="E142" s="434"/>
      <c r="F142" s="434" t="s">
        <v>113</v>
      </c>
      <c r="G142" s="434"/>
      <c r="H142" s="13"/>
      <c r="I142" s="178"/>
    </row>
    <row r="143" spans="1:9">
      <c r="A143" s="445">
        <v>907</v>
      </c>
      <c r="B143" s="432" t="s">
        <v>180</v>
      </c>
      <c r="C143" s="432"/>
      <c r="D143" s="433">
        <v>575618</v>
      </c>
      <c r="E143" s="434"/>
      <c r="F143" s="434" t="s">
        <v>855</v>
      </c>
      <c r="G143" s="434"/>
      <c r="H143" s="13"/>
      <c r="I143" s="178"/>
    </row>
    <row r="144" spans="1:9">
      <c r="A144" s="445">
        <v>908</v>
      </c>
      <c r="B144" s="432" t="s">
        <v>186</v>
      </c>
      <c r="C144" s="432"/>
      <c r="D144" s="433">
        <v>15870515</v>
      </c>
      <c r="E144" s="434"/>
      <c r="F144" s="434" t="s">
        <v>856</v>
      </c>
      <c r="G144" s="434"/>
      <c r="H144" s="13"/>
      <c r="I144" s="178"/>
    </row>
    <row r="145" spans="1:9">
      <c r="A145" s="445">
        <v>909</v>
      </c>
      <c r="B145" s="432" t="s">
        <v>187</v>
      </c>
      <c r="C145" s="432"/>
      <c r="D145" s="433">
        <v>10761</v>
      </c>
      <c r="E145" s="434"/>
      <c r="F145" s="434" t="s">
        <v>857</v>
      </c>
      <c r="G145" s="434"/>
      <c r="H145" s="13"/>
      <c r="I145" s="178"/>
    </row>
    <row r="146" spans="1:9">
      <c r="A146" s="445">
        <v>910</v>
      </c>
      <c r="B146" s="432" t="s">
        <v>227</v>
      </c>
      <c r="C146" s="432"/>
      <c r="D146" s="439">
        <v>9367</v>
      </c>
      <c r="E146" s="434"/>
      <c r="F146" s="434" t="s">
        <v>858</v>
      </c>
      <c r="G146" s="434"/>
      <c r="H146" s="13"/>
      <c r="I146" s="178"/>
    </row>
    <row r="147" spans="1:9">
      <c r="A147" s="432"/>
      <c r="B147" s="432" t="s">
        <v>228</v>
      </c>
      <c r="C147" s="432"/>
      <c r="D147" s="432">
        <f>SUM(D143:D146)</f>
        <v>16466261</v>
      </c>
      <c r="E147" s="434"/>
      <c r="F147" s="434" t="s">
        <v>903</v>
      </c>
      <c r="G147" s="434"/>
      <c r="H147" s="13"/>
      <c r="I147" s="178"/>
    </row>
    <row r="148" spans="1:9">
      <c r="A148" s="432"/>
      <c r="B148" s="432"/>
      <c r="C148" s="432"/>
      <c r="D148" s="432"/>
      <c r="E148" s="434"/>
      <c r="F148" s="434" t="s">
        <v>113</v>
      </c>
      <c r="G148" s="434"/>
      <c r="H148" s="13"/>
      <c r="I148" s="178"/>
    </row>
    <row r="149" spans="1:9">
      <c r="A149" s="443" t="s">
        <v>198</v>
      </c>
      <c r="B149" s="432"/>
      <c r="C149" s="432"/>
      <c r="D149" s="432"/>
      <c r="E149" s="434"/>
      <c r="F149" s="434" t="s">
        <v>113</v>
      </c>
      <c r="G149" s="434"/>
      <c r="H149" s="13"/>
      <c r="I149" s="178"/>
    </row>
    <row r="150" spans="1:9">
      <c r="A150" s="445">
        <v>911</v>
      </c>
      <c r="B150" s="432" t="s">
        <v>180</v>
      </c>
      <c r="C150" s="432"/>
      <c r="D150" s="433">
        <v>625</v>
      </c>
      <c r="E150" s="434"/>
      <c r="F150" s="434" t="s">
        <v>859</v>
      </c>
      <c r="G150" s="434"/>
      <c r="H150" s="13"/>
      <c r="I150" s="178"/>
    </row>
    <row r="151" spans="1:9">
      <c r="A151" s="445">
        <v>912</v>
      </c>
      <c r="B151" s="432" t="s">
        <v>188</v>
      </c>
      <c r="C151" s="432"/>
      <c r="D151" s="433">
        <v>210786</v>
      </c>
      <c r="E151" s="434"/>
      <c r="F151" s="434" t="s">
        <v>860</v>
      </c>
      <c r="G151" s="434"/>
      <c r="H151" s="13"/>
      <c r="I151" s="178"/>
    </row>
    <row r="152" spans="1:9">
      <c r="A152" s="445">
        <v>913</v>
      </c>
      <c r="B152" s="432" t="s">
        <v>189</v>
      </c>
      <c r="C152" s="432"/>
      <c r="D152" s="433">
        <v>1292</v>
      </c>
      <c r="E152" s="434"/>
      <c r="F152" s="434" t="s">
        <v>861</v>
      </c>
      <c r="G152" s="434"/>
      <c r="H152" s="13"/>
      <c r="I152" s="178"/>
    </row>
    <row r="153" spans="1:9">
      <c r="A153" s="445">
        <v>916</v>
      </c>
      <c r="B153" s="432" t="s">
        <v>229</v>
      </c>
      <c r="C153" s="432"/>
      <c r="D153" s="439">
        <v>0</v>
      </c>
      <c r="E153" s="434"/>
      <c r="F153" s="434" t="s">
        <v>862</v>
      </c>
      <c r="G153" s="434"/>
      <c r="H153" s="13"/>
      <c r="I153" s="178"/>
    </row>
    <row r="154" spans="1:9">
      <c r="A154" s="432"/>
      <c r="B154" s="432" t="s">
        <v>230</v>
      </c>
      <c r="C154" s="432"/>
      <c r="D154" s="432">
        <f>SUM(D150:D153)</f>
        <v>212703</v>
      </c>
      <c r="E154" s="434"/>
      <c r="F154" s="434" t="s">
        <v>863</v>
      </c>
      <c r="G154" s="434"/>
      <c r="H154" s="13"/>
      <c r="I154" s="178"/>
    </row>
    <row r="155" spans="1:9">
      <c r="A155" s="432"/>
      <c r="B155" s="432"/>
      <c r="C155" s="432"/>
      <c r="D155" s="432"/>
      <c r="E155" s="434"/>
      <c r="F155" s="434"/>
      <c r="G155" s="434"/>
      <c r="H155" s="13"/>
      <c r="I155" s="178"/>
    </row>
    <row r="156" spans="1:9">
      <c r="A156" s="434"/>
      <c r="B156" s="434"/>
      <c r="C156" s="434"/>
      <c r="D156" s="434"/>
      <c r="E156" s="442" t="s">
        <v>113</v>
      </c>
      <c r="F156" s="442" t="s">
        <v>113</v>
      </c>
      <c r="G156" s="434" t="s">
        <v>928</v>
      </c>
      <c r="H156" s="13"/>
      <c r="I156" s="178"/>
    </row>
    <row r="157" spans="1:9">
      <c r="A157" s="743" t="s">
        <v>625</v>
      </c>
      <c r="B157" s="687"/>
      <c r="C157" s="687"/>
      <c r="D157" s="687"/>
      <c r="E157" s="687"/>
      <c r="F157" s="687"/>
      <c r="G157" s="687"/>
      <c r="H157" s="13"/>
      <c r="I157" s="178"/>
    </row>
    <row r="158" spans="1:9">
      <c r="A158" s="687" t="s">
        <v>605</v>
      </c>
      <c r="B158" s="687"/>
      <c r="C158" s="687"/>
      <c r="D158" s="687"/>
      <c r="E158" s="687"/>
      <c r="F158" s="687"/>
      <c r="G158" s="687"/>
      <c r="H158" s="13"/>
      <c r="I158" s="178"/>
    </row>
    <row r="159" spans="1:9">
      <c r="A159" s="743" t="s">
        <v>49</v>
      </c>
      <c r="B159" s="687"/>
      <c r="C159" s="687"/>
      <c r="D159" s="687"/>
      <c r="E159" s="687"/>
      <c r="F159" s="687"/>
      <c r="G159" s="687"/>
      <c r="H159" s="13"/>
      <c r="I159" s="178"/>
    </row>
    <row r="160" spans="1:9">
      <c r="A160" s="744" t="str">
        <f>A5</f>
        <v>For the Year Ended December 31, 2016</v>
      </c>
      <c r="B160" s="687"/>
      <c r="C160" s="687"/>
      <c r="D160" s="687"/>
      <c r="E160" s="687"/>
      <c r="F160" s="687"/>
      <c r="G160" s="687"/>
      <c r="H160" s="13"/>
      <c r="I160" s="178"/>
    </row>
    <row r="161" spans="1:9">
      <c r="A161" s="432"/>
      <c r="B161" s="432"/>
      <c r="C161" s="432"/>
      <c r="D161" s="432"/>
      <c r="E161" s="434"/>
      <c r="F161" s="434"/>
      <c r="G161" s="434"/>
      <c r="H161" s="13"/>
      <c r="I161" s="178"/>
    </row>
    <row r="162" spans="1:9">
      <c r="A162" s="443" t="s">
        <v>139</v>
      </c>
      <c r="B162" s="432"/>
      <c r="C162" s="432"/>
      <c r="D162" s="432"/>
      <c r="E162" s="434"/>
      <c r="F162" s="434" t="s">
        <v>113</v>
      </c>
      <c r="G162" s="434"/>
      <c r="H162" s="13"/>
      <c r="I162" s="178"/>
    </row>
    <row r="163" spans="1:9">
      <c r="A163" s="445">
        <v>920</v>
      </c>
      <c r="B163" s="432" t="s">
        <v>190</v>
      </c>
      <c r="C163" s="432"/>
      <c r="D163" s="433">
        <v>39352838</v>
      </c>
      <c r="E163" s="434"/>
      <c r="F163" s="434" t="s">
        <v>864</v>
      </c>
      <c r="G163" s="434"/>
      <c r="H163" s="13"/>
      <c r="I163" s="178"/>
    </row>
    <row r="164" spans="1:9">
      <c r="A164" s="445">
        <v>921</v>
      </c>
      <c r="B164" s="432" t="s">
        <v>191</v>
      </c>
      <c r="C164" s="432"/>
      <c r="D164" s="433">
        <v>5221885</v>
      </c>
      <c r="E164" s="434"/>
      <c r="F164" s="434" t="s">
        <v>865</v>
      </c>
      <c r="G164" s="434"/>
      <c r="H164" s="13"/>
      <c r="I164" s="178"/>
    </row>
    <row r="165" spans="1:9">
      <c r="A165" s="445">
        <v>922</v>
      </c>
      <c r="B165" s="432" t="s">
        <v>231</v>
      </c>
      <c r="C165" s="432"/>
      <c r="D165" s="433">
        <v>-5882761</v>
      </c>
      <c r="E165" s="434"/>
      <c r="F165" s="434" t="s">
        <v>866</v>
      </c>
      <c r="G165" s="434"/>
      <c r="H165" s="13"/>
      <c r="I165" s="178"/>
    </row>
    <row r="166" spans="1:9">
      <c r="A166" s="445">
        <v>923</v>
      </c>
      <c r="B166" s="432" t="s">
        <v>192</v>
      </c>
      <c r="C166" s="432"/>
      <c r="D166" s="433">
        <v>9583953</v>
      </c>
      <c r="E166" s="434"/>
      <c r="F166" s="434" t="s">
        <v>867</v>
      </c>
      <c r="G166" s="434"/>
      <c r="H166" s="13"/>
      <c r="I166" s="178"/>
    </row>
    <row r="167" spans="1:9">
      <c r="A167" s="445">
        <v>924</v>
      </c>
      <c r="B167" s="432" t="s">
        <v>193</v>
      </c>
      <c r="C167" s="432"/>
      <c r="D167" s="433">
        <v>3238061</v>
      </c>
      <c r="E167" s="434"/>
      <c r="F167" s="434" t="s">
        <v>868</v>
      </c>
      <c r="G167" s="434"/>
      <c r="H167" s="13"/>
      <c r="I167" s="178"/>
    </row>
    <row r="168" spans="1:9">
      <c r="A168" s="445">
        <v>925</v>
      </c>
      <c r="B168" s="432" t="s">
        <v>194</v>
      </c>
      <c r="C168" s="432"/>
      <c r="D168" s="433">
        <v>7776985</v>
      </c>
      <c r="E168" s="434"/>
      <c r="F168" s="434" t="s">
        <v>869</v>
      </c>
      <c r="G168" s="434"/>
      <c r="H168" s="13"/>
      <c r="I168" s="178"/>
    </row>
    <row r="169" spans="1:9">
      <c r="A169" s="445">
        <v>926</v>
      </c>
      <c r="B169" s="438" t="s">
        <v>712</v>
      </c>
      <c r="C169" s="432"/>
      <c r="D169" s="433">
        <v>18006387</v>
      </c>
      <c r="E169" s="434"/>
      <c r="F169" s="434" t="s">
        <v>870</v>
      </c>
      <c r="G169" s="434"/>
      <c r="H169" s="13"/>
      <c r="I169" s="178"/>
    </row>
    <row r="170" spans="1:9">
      <c r="A170" s="445" t="s">
        <v>708</v>
      </c>
      <c r="B170" s="438" t="s">
        <v>711</v>
      </c>
      <c r="C170" s="432"/>
      <c r="D170" s="432">
        <f>D198</f>
        <v>-7753304.8199999994</v>
      </c>
      <c r="E170" s="434"/>
      <c r="F170" s="434" t="s">
        <v>113</v>
      </c>
      <c r="G170" s="434"/>
      <c r="H170" s="13"/>
      <c r="I170" s="178"/>
    </row>
    <row r="171" spans="1:9">
      <c r="A171" s="445" t="s">
        <v>709</v>
      </c>
      <c r="B171" s="438" t="s">
        <v>710</v>
      </c>
      <c r="C171" s="432"/>
      <c r="D171" s="446">
        <f>+D204</f>
        <v>6222780</v>
      </c>
      <c r="E171" s="434"/>
      <c r="F171" s="434" t="s">
        <v>113</v>
      </c>
      <c r="G171" s="434"/>
      <c r="H171" s="13"/>
      <c r="I171" s="178"/>
    </row>
    <row r="172" spans="1:9">
      <c r="A172" s="445">
        <v>926</v>
      </c>
      <c r="B172" s="438" t="s">
        <v>462</v>
      </c>
      <c r="C172" s="432"/>
      <c r="D172" s="432">
        <f>SUM(D169:D171)</f>
        <v>16475862.18</v>
      </c>
      <c r="E172" s="434"/>
      <c r="F172" s="434" t="s">
        <v>113</v>
      </c>
      <c r="G172" s="434"/>
      <c r="H172" s="13"/>
      <c r="I172" s="178"/>
    </row>
    <row r="173" spans="1:9">
      <c r="A173" s="445">
        <v>927</v>
      </c>
      <c r="B173" s="432" t="s">
        <v>232</v>
      </c>
      <c r="C173" s="432"/>
      <c r="D173" s="433">
        <v>0</v>
      </c>
      <c r="E173" s="434"/>
      <c r="F173" s="434" t="s">
        <v>871</v>
      </c>
      <c r="G173" s="434"/>
      <c r="H173" s="13"/>
      <c r="I173" s="178"/>
    </row>
    <row r="174" spans="1:9">
      <c r="A174" s="445">
        <v>928</v>
      </c>
      <c r="B174" s="432" t="s">
        <v>195</v>
      </c>
      <c r="C174" s="432"/>
      <c r="D174" s="433">
        <v>4280043</v>
      </c>
      <c r="E174" s="447"/>
      <c r="F174" s="434" t="s">
        <v>872</v>
      </c>
      <c r="G174" s="434"/>
      <c r="H174" s="13"/>
      <c r="I174" s="178"/>
    </row>
    <row r="175" spans="1:9">
      <c r="A175" s="445">
        <v>929</v>
      </c>
      <c r="B175" s="432" t="s">
        <v>233</v>
      </c>
      <c r="C175" s="432"/>
      <c r="D175" s="448">
        <v>-162751</v>
      </c>
      <c r="E175" s="434"/>
      <c r="F175" s="434" t="s">
        <v>873</v>
      </c>
      <c r="G175" s="434"/>
      <c r="H175" s="13"/>
      <c r="I175" s="178"/>
    </row>
    <row r="176" spans="1:9">
      <c r="A176" s="449">
        <v>930.1</v>
      </c>
      <c r="B176" s="434" t="s">
        <v>196</v>
      </c>
      <c r="C176" s="432"/>
      <c r="D176" s="433">
        <v>340610</v>
      </c>
      <c r="E176" s="450"/>
      <c r="F176" s="434" t="s">
        <v>874</v>
      </c>
      <c r="G176" s="434"/>
      <c r="H176" s="13"/>
      <c r="I176" s="178"/>
    </row>
    <row r="177" spans="1:9">
      <c r="A177" s="449">
        <v>930.2</v>
      </c>
      <c r="B177" s="432" t="s">
        <v>234</v>
      </c>
      <c r="C177" s="432"/>
      <c r="D177" s="433">
        <v>8891510</v>
      </c>
      <c r="E177" s="448"/>
      <c r="F177" s="434" t="s">
        <v>875</v>
      </c>
      <c r="G177" s="434"/>
      <c r="H177" s="13"/>
      <c r="I177" s="178"/>
    </row>
    <row r="178" spans="1:9">
      <c r="A178" s="449">
        <v>930.2</v>
      </c>
      <c r="B178" s="432" t="s">
        <v>235</v>
      </c>
      <c r="C178" s="432"/>
      <c r="D178" s="448">
        <v>0</v>
      </c>
      <c r="E178" s="440"/>
      <c r="F178" s="434" t="s">
        <v>875</v>
      </c>
      <c r="G178" s="434"/>
      <c r="H178" s="13"/>
      <c r="I178" s="178"/>
    </row>
    <row r="179" spans="1:9">
      <c r="A179" s="445">
        <v>931</v>
      </c>
      <c r="B179" s="432" t="s">
        <v>147</v>
      </c>
      <c r="C179" s="432"/>
      <c r="D179" s="439">
        <v>1618168</v>
      </c>
      <c r="E179" s="434"/>
      <c r="F179" s="434" t="s">
        <v>876</v>
      </c>
      <c r="G179" s="434"/>
      <c r="H179" s="13"/>
      <c r="I179" s="178"/>
    </row>
    <row r="180" spans="1:9">
      <c r="A180" s="445" t="s">
        <v>113</v>
      </c>
      <c r="B180" s="432" t="s">
        <v>151</v>
      </c>
      <c r="C180" s="432"/>
      <c r="D180" s="432">
        <f>+D163+D164+D165+D166+D167+D168+D172+D173+D174+D175+D176+D177+D178+D179</f>
        <v>90734403.180000007</v>
      </c>
      <c r="E180" s="432"/>
      <c r="F180" s="434" t="s">
        <v>877</v>
      </c>
      <c r="G180" s="434"/>
      <c r="H180" s="13"/>
      <c r="I180" s="178"/>
    </row>
    <row r="181" spans="1:9">
      <c r="A181" s="445"/>
      <c r="B181" s="434"/>
      <c r="C181" s="434"/>
      <c r="D181" s="448"/>
      <c r="E181" s="434"/>
      <c r="F181" s="434"/>
      <c r="G181" s="434"/>
      <c r="H181" s="13"/>
      <c r="I181" s="178"/>
    </row>
    <row r="182" spans="1:9">
      <c r="A182" s="445"/>
      <c r="B182" s="432"/>
      <c r="C182" s="432"/>
      <c r="D182" s="432"/>
      <c r="E182" s="434"/>
      <c r="F182" s="434" t="s">
        <v>113</v>
      </c>
      <c r="G182" s="434"/>
      <c r="H182" s="13"/>
      <c r="I182" s="178"/>
    </row>
    <row r="183" spans="1:9">
      <c r="A183" s="445">
        <v>935</v>
      </c>
      <c r="B183" s="432" t="s">
        <v>197</v>
      </c>
      <c r="C183" s="432"/>
      <c r="D183" s="439">
        <v>12016949</v>
      </c>
      <c r="E183" s="434"/>
      <c r="F183" s="434" t="s">
        <v>878</v>
      </c>
      <c r="G183" s="434"/>
      <c r="H183" s="13"/>
      <c r="I183" s="178"/>
    </row>
    <row r="184" spans="1:9">
      <c r="A184" s="432"/>
      <c r="B184" s="432" t="s">
        <v>157</v>
      </c>
      <c r="C184" s="432"/>
      <c r="D184" s="432">
        <f>SUM(D183:D183)</f>
        <v>12016949</v>
      </c>
      <c r="E184" s="434"/>
      <c r="F184" s="434" t="s">
        <v>113</v>
      </c>
      <c r="G184" s="434"/>
    </row>
    <row r="185" spans="1:9">
      <c r="A185" s="432"/>
      <c r="B185" s="432"/>
      <c r="C185" s="432"/>
      <c r="D185" s="432"/>
      <c r="E185" s="434"/>
      <c r="F185" s="434" t="s">
        <v>113</v>
      </c>
      <c r="G185" s="434"/>
    </row>
    <row r="186" spans="1:9">
      <c r="A186" s="432"/>
      <c r="B186" s="432" t="s">
        <v>236</v>
      </c>
      <c r="C186" s="432"/>
      <c r="D186" s="446">
        <f>+D180+D184</f>
        <v>102751352.18000001</v>
      </c>
      <c r="E186" s="432"/>
      <c r="F186" s="434" t="s">
        <v>879</v>
      </c>
      <c r="G186" s="434"/>
    </row>
    <row r="187" spans="1:9">
      <c r="A187" s="432"/>
      <c r="B187" s="432"/>
      <c r="C187" s="432"/>
      <c r="D187" s="432"/>
      <c r="E187" s="434"/>
      <c r="F187" s="434" t="s">
        <v>113</v>
      </c>
      <c r="G187" s="434"/>
    </row>
    <row r="188" spans="1:9" ht="13.8" thickBot="1">
      <c r="A188" s="434"/>
      <c r="B188" s="451" t="s">
        <v>237</v>
      </c>
      <c r="C188" s="432"/>
      <c r="D188" s="452">
        <f>+D59+D97+D131+D140+D147+D154+D186+D100</f>
        <v>1745775237.1800001</v>
      </c>
      <c r="E188" s="440"/>
      <c r="F188" s="434" t="s">
        <v>880</v>
      </c>
      <c r="G188" s="434"/>
    </row>
    <row r="189" spans="1:9" ht="13.8" thickTop="1">
      <c r="A189" s="434"/>
      <c r="B189" s="434"/>
      <c r="C189" s="434"/>
      <c r="D189" s="434" t="s">
        <v>113</v>
      </c>
      <c r="E189" s="434"/>
      <c r="F189" s="434"/>
      <c r="G189" s="434"/>
    </row>
    <row r="190" spans="1:9">
      <c r="A190" s="434"/>
      <c r="B190" s="434"/>
      <c r="C190" s="434"/>
      <c r="D190" s="434"/>
      <c r="E190" s="432"/>
      <c r="F190" s="434"/>
      <c r="G190" s="434"/>
    </row>
    <row r="191" spans="1:9">
      <c r="A191" s="434"/>
      <c r="B191" s="453"/>
      <c r="C191" s="454"/>
      <c r="D191" s="440"/>
      <c r="E191" s="432"/>
      <c r="F191" s="434"/>
      <c r="G191" s="434"/>
    </row>
    <row r="192" spans="1:9">
      <c r="A192" s="434"/>
      <c r="B192" s="434" t="s">
        <v>511</v>
      </c>
      <c r="C192" s="454"/>
      <c r="D192" s="16">
        <v>1747305762</v>
      </c>
      <c r="E192" s="434"/>
      <c r="F192" s="434"/>
      <c r="G192" s="434"/>
    </row>
    <row r="193" spans="1:7">
      <c r="A193" s="434"/>
      <c r="B193" s="434" t="s">
        <v>142</v>
      </c>
      <c r="C193" s="454"/>
      <c r="D193" s="13">
        <f>D192-D188</f>
        <v>1530524.8199999332</v>
      </c>
      <c r="E193" s="432"/>
      <c r="F193" s="434"/>
      <c r="G193" s="434"/>
    </row>
    <row r="194" spans="1:7">
      <c r="A194" s="434"/>
      <c r="B194" s="434"/>
      <c r="C194" s="434"/>
      <c r="D194" s="434"/>
      <c r="E194" s="434"/>
      <c r="F194" s="434"/>
      <c r="G194" s="434"/>
    </row>
    <row r="195" spans="1:7" ht="13.8">
      <c r="A195" s="468" t="s">
        <v>707</v>
      </c>
      <c r="B195" s="469"/>
      <c r="C195" s="469"/>
      <c r="D195" s="470"/>
      <c r="E195" s="434"/>
      <c r="F195" s="434"/>
      <c r="G195" s="434"/>
    </row>
    <row r="196" spans="1:7">
      <c r="A196" s="471" t="s">
        <v>426</v>
      </c>
      <c r="B196" s="456" t="s">
        <v>662</v>
      </c>
      <c r="C196" s="457"/>
      <c r="D196" s="472">
        <f>-11363459.78+3610154.96</f>
        <v>-7753304.8199999994</v>
      </c>
      <c r="E196" s="434"/>
      <c r="F196" s="434"/>
      <c r="G196" s="434"/>
    </row>
    <row r="197" spans="1:7">
      <c r="A197" s="471"/>
      <c r="B197" s="456" t="s">
        <v>432</v>
      </c>
      <c r="C197" s="457"/>
      <c r="D197" s="472">
        <v>0</v>
      </c>
      <c r="E197" s="434"/>
      <c r="F197" s="434"/>
      <c r="G197" s="434"/>
    </row>
    <row r="198" spans="1:7">
      <c r="A198" s="471"/>
      <c r="B198" s="458" t="s">
        <v>433</v>
      </c>
      <c r="C198" s="457"/>
      <c r="D198" s="473">
        <f>SUM(D196:D197)</f>
        <v>-7753304.8199999994</v>
      </c>
      <c r="E198" s="434"/>
      <c r="F198" s="434"/>
      <c r="G198" s="434"/>
    </row>
    <row r="199" spans="1:7">
      <c r="A199" s="471"/>
      <c r="B199" s="456"/>
      <c r="C199" s="456"/>
      <c r="D199" s="474"/>
      <c r="E199" s="434"/>
      <c r="F199" s="434"/>
      <c r="G199" s="434"/>
    </row>
    <row r="200" spans="1:7">
      <c r="A200" s="475"/>
      <c r="B200" s="476"/>
      <c r="C200" s="476"/>
      <c r="D200" s="477"/>
      <c r="E200" s="434"/>
      <c r="F200" s="434"/>
      <c r="G200" s="434"/>
    </row>
    <row r="201" spans="1:7" ht="13.8">
      <c r="A201" s="467" t="s">
        <v>706</v>
      </c>
      <c r="B201" s="456"/>
      <c r="C201" s="456"/>
      <c r="D201" s="460"/>
      <c r="E201" s="434"/>
      <c r="F201" s="434"/>
      <c r="G201" s="434"/>
    </row>
    <row r="202" spans="1:7">
      <c r="A202" s="455" t="s">
        <v>426</v>
      </c>
      <c r="B202" s="456" t="s">
        <v>662</v>
      </c>
      <c r="C202" s="457"/>
      <c r="D202" s="464">
        <v>10806289</v>
      </c>
      <c r="E202" s="434"/>
      <c r="F202" s="432"/>
      <c r="G202" s="434"/>
    </row>
    <row r="203" spans="1:7">
      <c r="A203" s="455"/>
      <c r="B203" s="456" t="s">
        <v>432</v>
      </c>
      <c r="C203" s="457"/>
      <c r="D203" s="464">
        <v>-4583509</v>
      </c>
      <c r="E203" s="434"/>
      <c r="F203" s="434"/>
      <c r="G203" s="434"/>
    </row>
    <row r="204" spans="1:7">
      <c r="A204" s="455"/>
      <c r="B204" s="458" t="s">
        <v>713</v>
      </c>
      <c r="C204" s="457"/>
      <c r="D204" s="459">
        <f>SUM(D202:D203)</f>
        <v>6222780</v>
      </c>
      <c r="E204" s="434"/>
      <c r="F204" s="465"/>
      <c r="G204" s="434"/>
    </row>
    <row r="205" spans="1:7" ht="13.8" thickBot="1">
      <c r="A205" s="461"/>
      <c r="B205" s="466" t="s">
        <v>113</v>
      </c>
      <c r="C205" s="462"/>
      <c r="D205" s="463"/>
      <c r="E205" s="434"/>
      <c r="F205" s="434"/>
      <c r="G205" s="434"/>
    </row>
    <row r="206" spans="1:7">
      <c r="A206" s="434" t="s">
        <v>904</v>
      </c>
      <c r="B206" s="434"/>
      <c r="C206" s="434"/>
      <c r="D206" s="434"/>
      <c r="E206" s="434"/>
      <c r="F206" s="434"/>
      <c r="G206" s="434"/>
    </row>
  </sheetData>
  <mergeCells count="16">
    <mergeCell ref="A157:G157"/>
    <mergeCell ref="A158:G158"/>
    <mergeCell ref="A159:G159"/>
    <mergeCell ref="A160:G160"/>
    <mergeCell ref="A65:G65"/>
    <mergeCell ref="A66:G66"/>
    <mergeCell ref="A115:G115"/>
    <mergeCell ref="A116:G116"/>
    <mergeCell ref="A117:G117"/>
    <mergeCell ref="A118:G118"/>
    <mergeCell ref="A64:G64"/>
    <mergeCell ref="A2:G2"/>
    <mergeCell ref="A3:G3"/>
    <mergeCell ref="A4:G4"/>
    <mergeCell ref="A5:G5"/>
    <mergeCell ref="A63:G63"/>
  </mergeCells>
  <phoneticPr fontId="2" type="noConversion"/>
  <conditionalFormatting sqref="D197">
    <cfRule type="expression" dxfId="5" priority="1" stopIfTrue="1">
      <formula>AND((#REF!&gt;1000000),(#REF!&gt;0.1))</formula>
    </cfRule>
    <cfRule type="expression" dxfId="4" priority="2" stopIfTrue="1">
      <formula>AND((#REF!&lt;-1000000),(#REF!&lt;-0.1))</formula>
    </cfRule>
    <cfRule type="expression" dxfId="3" priority="3" stopIfTrue="1">
      <formula>AND((#REF!&lt;-1000000),(#REF!&gt;0.1))</formula>
    </cfRule>
  </conditionalFormatting>
  <conditionalFormatting sqref="D196">
    <cfRule type="expression" dxfId="2" priority="4" stopIfTrue="1">
      <formula>AND((#REF!&gt;1000000),(#REF!&gt;0.1))</formula>
    </cfRule>
    <cfRule type="expression" dxfId="1" priority="5" stopIfTrue="1">
      <formula>AND((#REF!&lt;-1000000),(#REF!&lt;-0.1))</formula>
    </cfRule>
    <cfRule type="expression" dxfId="0" priority="6" stopIfTrue="1">
      <formula>AND((#REF!&lt;-1000000),(#REF!&gt;0.1))</formula>
    </cfRule>
  </conditionalFormatting>
  <pageMargins left="0.5" right="0.5" top="0.5" bottom="0.5" header="0.5" footer="0.25"/>
  <pageSetup scale="86" orientation="portrait" r:id="rId1"/>
  <headerFooter alignWithMargins="0">
    <oddFooter>&amp;C&amp;A</oddFooter>
  </headerFooter>
  <rowBreaks count="3" manualBreakCount="3">
    <brk id="61" max="16383" man="1"/>
    <brk id="113" max="16383" man="1"/>
    <brk id="1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J18"/>
  <sheetViews>
    <sheetView showGridLines="0" view="pageBreakPreview" zoomScale="60" zoomScaleNormal="100" workbookViewId="0">
      <selection activeCell="B6" sqref="B6"/>
    </sheetView>
  </sheetViews>
  <sheetFormatPr defaultColWidth="9.109375" defaultRowHeight="13.2"/>
  <cols>
    <col min="1" max="1" width="9.109375" style="1"/>
    <col min="2" max="2" width="37" style="1" customWidth="1"/>
    <col min="3" max="3" width="3.88671875" style="1" customWidth="1"/>
    <col min="4" max="4" width="13.33203125" style="1" customWidth="1"/>
    <col min="5" max="5" width="5.6640625" style="1" customWidth="1"/>
    <col min="6" max="6" width="15.44140625" style="1" customWidth="1"/>
    <col min="7" max="7" width="12.88671875" style="1" customWidth="1"/>
    <col min="8" max="8" width="9.109375" style="1"/>
    <col min="9" max="9" width="12.6640625" style="1" customWidth="1"/>
    <col min="10" max="16384" width="9.109375" style="1"/>
  </cols>
  <sheetData>
    <row r="1" spans="1:10">
      <c r="A1" s="1" t="s">
        <v>113</v>
      </c>
      <c r="J1" s="284" t="s">
        <v>113</v>
      </c>
    </row>
    <row r="2" spans="1:10">
      <c r="B2" s="691" t="s">
        <v>625</v>
      </c>
      <c r="C2" s="691"/>
      <c r="D2" s="691"/>
      <c r="E2" s="691"/>
      <c r="F2" s="692"/>
      <c r="G2" s="692"/>
      <c r="H2" s="692"/>
      <c r="I2" s="1" t="s">
        <v>113</v>
      </c>
      <c r="J2" s="284" t="s">
        <v>113</v>
      </c>
    </row>
    <row r="3" spans="1:10">
      <c r="B3" s="696" t="s">
        <v>605</v>
      </c>
      <c r="C3" s="696"/>
      <c r="D3" s="696"/>
      <c r="E3" s="696"/>
      <c r="F3" s="696"/>
      <c r="G3" s="696"/>
      <c r="H3" s="696"/>
    </row>
    <row r="4" spans="1:10">
      <c r="B4" s="693" t="s">
        <v>608</v>
      </c>
      <c r="C4" s="693"/>
      <c r="D4" s="693"/>
      <c r="E4" s="693"/>
      <c r="F4" s="693"/>
      <c r="G4" s="693"/>
      <c r="H4" s="694"/>
    </row>
    <row r="5" spans="1:10">
      <c r="B5" s="695" t="s">
        <v>1176</v>
      </c>
      <c r="C5" s="693"/>
      <c r="D5" s="693"/>
      <c r="E5" s="693"/>
      <c r="F5" s="693"/>
      <c r="G5" s="693"/>
      <c r="H5" s="694"/>
    </row>
    <row r="10" spans="1:10">
      <c r="D10" s="690" t="s">
        <v>105</v>
      </c>
      <c r="E10" s="690"/>
      <c r="F10" s="690"/>
      <c r="G10" s="690"/>
    </row>
    <row r="11" spans="1:10" ht="15.6">
      <c r="D11" s="312" t="s">
        <v>103</v>
      </c>
      <c r="F11" s="312" t="s">
        <v>106</v>
      </c>
      <c r="G11" s="312" t="s">
        <v>107</v>
      </c>
      <c r="H11" s="205" t="s">
        <v>277</v>
      </c>
    </row>
    <row r="12" spans="1:10">
      <c r="B12" s="1" t="s">
        <v>113</v>
      </c>
      <c r="D12" s="4">
        <f>SUM(F12:G12)</f>
        <v>0</v>
      </c>
      <c r="F12" s="5">
        <v>0</v>
      </c>
      <c r="G12" s="5">
        <v>0</v>
      </c>
      <c r="H12" s="107" t="s">
        <v>278</v>
      </c>
    </row>
    <row r="13" spans="1:10">
      <c r="B13" s="1" t="s">
        <v>103</v>
      </c>
      <c r="D13" s="6">
        <f>SUM(D12:D12)</f>
        <v>0</v>
      </c>
      <c r="F13" s="6">
        <f>SUM(F12:F12)</f>
        <v>0</v>
      </c>
      <c r="G13" s="6">
        <f>SUM(G12:G12)</f>
        <v>0</v>
      </c>
    </row>
    <row r="14" spans="1:10">
      <c r="D14" s="6"/>
      <c r="E14" s="6"/>
      <c r="F14" s="6"/>
    </row>
    <row r="16" spans="1:10">
      <c r="B16" s="193" t="s">
        <v>279</v>
      </c>
    </row>
    <row r="17" spans="2:10">
      <c r="B17"/>
      <c r="C17"/>
      <c r="D17"/>
      <c r="E17"/>
      <c r="F17"/>
      <c r="G17"/>
      <c r="H17"/>
      <c r="I17"/>
      <c r="J17"/>
    </row>
    <row r="18" spans="2:10" ht="15.6">
      <c r="B18" s="195" t="s">
        <v>280</v>
      </c>
    </row>
  </sheetData>
  <mergeCells count="5">
    <mergeCell ref="D10:G10"/>
    <mergeCell ref="B2:H2"/>
    <mergeCell ref="B4:H4"/>
    <mergeCell ref="B5:H5"/>
    <mergeCell ref="B3:H3"/>
  </mergeCells>
  <phoneticPr fontId="2" type="noConversion"/>
  <pageMargins left="0.5" right="0.5" top="0.5" bottom="0.5" header="0.5" footer="0.25"/>
  <pageSetup scale="76" orientation="portrait" r:id="rId1"/>
  <headerFooter alignWithMargins="0">
    <oddFooter>&amp;C&amp;A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6" tint="-0.249977111117893"/>
  </sheetPr>
  <dimension ref="A1:G61"/>
  <sheetViews>
    <sheetView showGridLines="0" view="pageBreakPreview" topLeftCell="A13" zoomScaleNormal="100" zoomScaleSheetLayoutView="100" workbookViewId="0">
      <selection activeCell="D26" sqref="D26"/>
    </sheetView>
  </sheetViews>
  <sheetFormatPr defaultColWidth="11" defaultRowHeight="13.2"/>
  <cols>
    <col min="1" max="1" width="15.5546875" style="7" customWidth="1"/>
    <col min="2" max="3" width="16.88671875" style="7" customWidth="1"/>
    <col min="4" max="4" width="19.33203125" style="7" customWidth="1"/>
    <col min="5" max="5" width="16.6640625" style="7" customWidth="1"/>
    <col min="6" max="6" width="11.6640625" style="7" customWidth="1"/>
    <col min="7" max="7" width="15.44140625" style="7" customWidth="1"/>
    <col min="8" max="16384" width="11" style="7"/>
  </cols>
  <sheetData>
    <row r="1" spans="1:7">
      <c r="A1" s="434"/>
      <c r="B1" s="434"/>
      <c r="C1" s="434"/>
      <c r="D1" s="434"/>
      <c r="E1" s="434"/>
      <c r="F1" s="442" t="s">
        <v>113</v>
      </c>
      <c r="G1" s="434"/>
    </row>
    <row r="2" spans="1:7">
      <c r="A2" s="745" t="s">
        <v>625</v>
      </c>
      <c r="B2" s="745"/>
      <c r="C2" s="745"/>
      <c r="D2" s="745"/>
      <c r="E2" s="745"/>
      <c r="F2" s="687"/>
      <c r="G2" s="687"/>
    </row>
    <row r="3" spans="1:7">
      <c r="A3" s="687" t="s">
        <v>605</v>
      </c>
      <c r="B3" s="687"/>
      <c r="C3" s="687"/>
      <c r="D3" s="687"/>
      <c r="E3" s="687"/>
      <c r="F3" s="687"/>
      <c r="G3" s="687"/>
    </row>
    <row r="4" spans="1:7">
      <c r="A4" s="746" t="s">
        <v>50</v>
      </c>
      <c r="B4" s="746"/>
      <c r="C4" s="746"/>
      <c r="D4" s="746"/>
      <c r="E4" s="746"/>
      <c r="F4" s="687"/>
      <c r="G4" s="687"/>
    </row>
    <row r="5" spans="1:7">
      <c r="A5" s="747" t="s">
        <v>1175</v>
      </c>
      <c r="B5" s="747"/>
      <c r="C5" s="747"/>
      <c r="D5" s="747"/>
      <c r="E5" s="747"/>
      <c r="F5" s="687"/>
      <c r="G5" s="687"/>
    </row>
    <row r="6" spans="1:7">
      <c r="A6" s="434"/>
      <c r="B6" s="434"/>
      <c r="C6" s="434"/>
      <c r="D6" s="434"/>
      <c r="E6" s="434"/>
      <c r="F6" s="434"/>
      <c r="G6" s="434"/>
    </row>
    <row r="7" spans="1:7">
      <c r="A7" s="434"/>
      <c r="B7" s="434"/>
      <c r="C7" s="434"/>
      <c r="D7" s="434"/>
      <c r="E7" s="434"/>
      <c r="F7" s="434"/>
      <c r="G7" s="434"/>
    </row>
    <row r="8" spans="1:7">
      <c r="A8" s="434"/>
      <c r="B8" s="434"/>
      <c r="C8" s="434"/>
      <c r="D8" s="476" t="s">
        <v>717</v>
      </c>
      <c r="E8" s="561" t="s">
        <v>296</v>
      </c>
      <c r="F8" s="434"/>
      <c r="G8" s="434"/>
    </row>
    <row r="9" spans="1:7">
      <c r="A9" s="562"/>
      <c r="B9" s="434"/>
      <c r="C9" s="434"/>
      <c r="D9" s="434"/>
      <c r="E9" s="434"/>
      <c r="F9" s="434"/>
      <c r="G9" s="434"/>
    </row>
    <row r="10" spans="1:7" ht="15.6">
      <c r="A10" s="563" t="s">
        <v>104</v>
      </c>
      <c r="B10" s="434"/>
      <c r="C10" s="434"/>
      <c r="D10" s="434"/>
      <c r="E10" s="564" t="s">
        <v>113</v>
      </c>
      <c r="F10" s="434"/>
      <c r="G10" s="434"/>
    </row>
    <row r="11" spans="1:7">
      <c r="A11" s="562"/>
      <c r="B11" s="434"/>
      <c r="C11" s="434"/>
      <c r="D11" s="434"/>
      <c r="E11" s="564"/>
      <c r="F11" s="434"/>
      <c r="G11" s="434"/>
    </row>
    <row r="12" spans="1:7">
      <c r="A12" s="562" t="s">
        <v>716</v>
      </c>
      <c r="B12" s="434"/>
      <c r="C12" s="434"/>
      <c r="D12" s="434" t="s">
        <v>721</v>
      </c>
      <c r="E12" s="564">
        <v>119631</v>
      </c>
      <c r="F12" s="434"/>
      <c r="G12" s="434"/>
    </row>
    <row r="13" spans="1:7">
      <c r="A13" s="562" t="s">
        <v>718</v>
      </c>
      <c r="B13" s="434"/>
      <c r="C13" s="434"/>
      <c r="D13" s="434" t="s">
        <v>722</v>
      </c>
      <c r="E13" s="564">
        <v>171002</v>
      </c>
      <c r="F13" s="434"/>
      <c r="G13" s="434"/>
    </row>
    <row r="14" spans="1:7">
      <c r="A14" s="567" t="s">
        <v>946</v>
      </c>
      <c r="B14" s="434"/>
      <c r="C14" s="434"/>
      <c r="D14" s="565" t="s">
        <v>723</v>
      </c>
      <c r="E14" s="564">
        <v>637971</v>
      </c>
      <c r="F14" s="434"/>
      <c r="G14" s="434"/>
    </row>
    <row r="15" spans="1:7">
      <c r="A15" s="567" t="s">
        <v>945</v>
      </c>
      <c r="B15" s="434"/>
      <c r="C15" s="434"/>
      <c r="D15" s="566" t="s">
        <v>724</v>
      </c>
      <c r="E15" s="564">
        <v>436118</v>
      </c>
      <c r="F15" s="434"/>
      <c r="G15" s="434"/>
    </row>
    <row r="16" spans="1:7">
      <c r="A16" s="567" t="s">
        <v>1109</v>
      </c>
      <c r="B16" s="434"/>
      <c r="C16" s="434"/>
      <c r="D16" s="434" t="s">
        <v>726</v>
      </c>
      <c r="E16" s="568">
        <v>177481</v>
      </c>
      <c r="F16" s="434"/>
      <c r="G16" s="434"/>
    </row>
    <row r="17" spans="1:7">
      <c r="A17" s="567" t="s">
        <v>1110</v>
      </c>
      <c r="B17" s="434"/>
      <c r="C17" s="434"/>
      <c r="D17" s="434" t="s">
        <v>727</v>
      </c>
      <c r="E17" s="568">
        <v>65889</v>
      </c>
      <c r="F17" s="434"/>
      <c r="G17" s="434"/>
    </row>
    <row r="18" spans="1:7">
      <c r="A18" s="567" t="s">
        <v>1111</v>
      </c>
      <c r="B18" s="434"/>
      <c r="C18" s="434"/>
      <c r="D18" s="434" t="s">
        <v>1184</v>
      </c>
      <c r="E18" s="568">
        <v>61921</v>
      </c>
      <c r="F18" s="434"/>
      <c r="G18" s="434"/>
    </row>
    <row r="19" spans="1:7">
      <c r="A19" s="567" t="s">
        <v>1198</v>
      </c>
      <c r="B19" s="434"/>
      <c r="C19" s="434"/>
      <c r="D19" s="434" t="s">
        <v>1185</v>
      </c>
      <c r="E19" s="568">
        <v>138206</v>
      </c>
      <c r="F19" s="434"/>
      <c r="G19" s="434"/>
    </row>
    <row r="20" spans="1:7" ht="13.5" customHeight="1">
      <c r="A20" s="567" t="s">
        <v>1199</v>
      </c>
      <c r="B20" s="434"/>
      <c r="C20" s="434"/>
      <c r="D20" s="434" t="s">
        <v>1186</v>
      </c>
      <c r="E20" s="568">
        <v>17450</v>
      </c>
      <c r="F20" s="434"/>
      <c r="G20" s="434"/>
    </row>
    <row r="21" spans="1:7">
      <c r="A21" s="567" t="s">
        <v>1200</v>
      </c>
      <c r="B21" s="434"/>
      <c r="C21" s="434"/>
      <c r="D21" s="434" t="s">
        <v>1187</v>
      </c>
      <c r="E21" s="568">
        <v>43191</v>
      </c>
      <c r="F21" s="434"/>
      <c r="G21" s="434"/>
    </row>
    <row r="22" spans="1:7">
      <c r="A22" s="567" t="s">
        <v>1188</v>
      </c>
      <c r="B22" s="434"/>
      <c r="C22" s="434"/>
      <c r="D22" s="434" t="s">
        <v>1112</v>
      </c>
      <c r="E22" s="568">
        <v>19712</v>
      </c>
      <c r="F22" s="434"/>
      <c r="G22" s="434"/>
    </row>
    <row r="23" spans="1:7">
      <c r="A23" s="567" t="s">
        <v>1201</v>
      </c>
      <c r="B23" s="434"/>
      <c r="C23" s="434"/>
      <c r="D23" s="434" t="s">
        <v>1189</v>
      </c>
      <c r="E23" s="568">
        <v>120429</v>
      </c>
      <c r="F23" s="434"/>
      <c r="G23" s="434"/>
    </row>
    <row r="24" spans="1:7">
      <c r="A24" s="567" t="s">
        <v>1202</v>
      </c>
      <c r="B24" s="434"/>
      <c r="C24" s="434"/>
      <c r="D24" s="434" t="s">
        <v>1190</v>
      </c>
      <c r="E24" s="568">
        <v>158606</v>
      </c>
      <c r="F24" s="434"/>
      <c r="G24" s="434"/>
    </row>
    <row r="25" spans="1:7">
      <c r="A25" s="567" t="s">
        <v>1203</v>
      </c>
      <c r="B25" s="434"/>
      <c r="C25" s="434"/>
      <c r="D25" s="434" t="s">
        <v>1257</v>
      </c>
      <c r="E25" s="568">
        <v>53474</v>
      </c>
      <c r="F25" s="434"/>
      <c r="G25" s="434"/>
    </row>
    <row r="26" spans="1:7">
      <c r="A26" s="567" t="s">
        <v>1204</v>
      </c>
      <c r="B26" s="434"/>
      <c r="C26" s="434"/>
      <c r="D26" s="434" t="s">
        <v>1191</v>
      </c>
      <c r="E26" s="568">
        <v>121651</v>
      </c>
      <c r="F26" s="434"/>
      <c r="G26" s="434"/>
    </row>
    <row r="27" spans="1:7">
      <c r="A27" s="567" t="s">
        <v>1205</v>
      </c>
      <c r="B27" s="434"/>
      <c r="C27" s="434"/>
      <c r="D27" s="434" t="s">
        <v>1192</v>
      </c>
      <c r="E27" s="568">
        <v>79311</v>
      </c>
      <c r="F27" s="434"/>
      <c r="G27" s="434"/>
    </row>
    <row r="28" spans="1:7">
      <c r="A28" s="567" t="s">
        <v>1206</v>
      </c>
      <c r="B28" s="434"/>
      <c r="C28" s="434"/>
      <c r="D28" s="434" t="s">
        <v>1193</v>
      </c>
      <c r="E28" s="568">
        <v>281695</v>
      </c>
      <c r="F28" s="434"/>
      <c r="G28" s="434"/>
    </row>
    <row r="29" spans="1:7">
      <c r="A29" s="567" t="s">
        <v>1207</v>
      </c>
      <c r="B29" s="434"/>
      <c r="C29" s="434"/>
      <c r="D29" s="434" t="s">
        <v>1194</v>
      </c>
      <c r="E29" s="569">
        <v>27659</v>
      </c>
      <c r="F29" s="434"/>
      <c r="G29" s="434"/>
    </row>
    <row r="30" spans="1:7" ht="13.5" customHeight="1">
      <c r="A30" s="570" t="s">
        <v>743</v>
      </c>
      <c r="B30" s="434"/>
      <c r="C30" s="434"/>
      <c r="D30" s="434"/>
      <c r="E30" s="564">
        <f>SUM(E12:E29)</f>
        <v>2731397</v>
      </c>
      <c r="F30" s="434"/>
      <c r="G30" s="434"/>
    </row>
    <row r="31" spans="1:7">
      <c r="A31" s="562"/>
      <c r="B31" s="434"/>
      <c r="C31" s="434"/>
      <c r="D31" s="434"/>
      <c r="E31" s="571"/>
      <c r="F31" s="434"/>
      <c r="G31" s="434"/>
    </row>
    <row r="32" spans="1:7" ht="18">
      <c r="A32" s="563" t="s">
        <v>882</v>
      </c>
      <c r="B32" s="434"/>
      <c r="C32" s="434"/>
      <c r="D32" s="434"/>
      <c r="E32" s="572" t="s">
        <v>113</v>
      </c>
      <c r="F32" s="434"/>
      <c r="G32" s="434"/>
    </row>
    <row r="33" spans="1:7" ht="15.6">
      <c r="A33" s="563"/>
      <c r="B33" s="434"/>
      <c r="C33" s="434"/>
      <c r="D33" s="434"/>
      <c r="E33" s="572"/>
      <c r="F33" s="434"/>
      <c r="G33" s="434"/>
    </row>
    <row r="34" spans="1:7">
      <c r="A34" s="434" t="s">
        <v>720</v>
      </c>
      <c r="B34" s="434"/>
      <c r="C34" s="434"/>
      <c r="D34" s="434" t="s">
        <v>728</v>
      </c>
      <c r="E34" s="564">
        <v>1015710</v>
      </c>
      <c r="F34" s="434"/>
      <c r="G34" s="434"/>
    </row>
    <row r="35" spans="1:7">
      <c r="A35" s="434" t="s">
        <v>719</v>
      </c>
      <c r="B35" s="434"/>
      <c r="C35" s="434"/>
      <c r="D35" s="434" t="s">
        <v>729</v>
      </c>
      <c r="E35" s="564">
        <v>76539</v>
      </c>
      <c r="F35" s="434"/>
      <c r="G35" s="434"/>
    </row>
    <row r="36" spans="1:7">
      <c r="A36" s="434" t="s">
        <v>730</v>
      </c>
      <c r="B36" s="434"/>
      <c r="C36" s="434"/>
      <c r="D36" s="434" t="s">
        <v>731</v>
      </c>
      <c r="E36" s="564">
        <v>154936</v>
      </c>
      <c r="F36" s="434"/>
      <c r="G36" s="434"/>
    </row>
    <row r="37" spans="1:7">
      <c r="A37" s="434" t="s">
        <v>732</v>
      </c>
      <c r="B37" s="434"/>
      <c r="C37" s="434"/>
      <c r="D37" s="434" t="s">
        <v>733</v>
      </c>
      <c r="E37" s="564">
        <v>69019</v>
      </c>
      <c r="F37" s="434"/>
      <c r="G37" s="434"/>
    </row>
    <row r="38" spans="1:7">
      <c r="A38" s="434" t="s">
        <v>734</v>
      </c>
      <c r="B38" s="434"/>
      <c r="C38" s="434"/>
      <c r="D38" s="434" t="s">
        <v>735</v>
      </c>
      <c r="E38" s="564">
        <v>70374</v>
      </c>
      <c r="F38" s="434"/>
      <c r="G38" s="434"/>
    </row>
    <row r="39" spans="1:7">
      <c r="A39" s="434" t="s">
        <v>736</v>
      </c>
      <c r="B39" s="434"/>
      <c r="C39" s="434"/>
      <c r="D39" s="434" t="s">
        <v>737</v>
      </c>
      <c r="E39" s="564">
        <v>47281</v>
      </c>
      <c r="F39" s="434"/>
      <c r="G39" s="434"/>
    </row>
    <row r="40" spans="1:7">
      <c r="A40" s="434" t="s">
        <v>738</v>
      </c>
      <c r="B40" s="434"/>
      <c r="C40" s="434"/>
      <c r="D40" s="434" t="s">
        <v>739</v>
      </c>
      <c r="E40" s="564">
        <v>21108</v>
      </c>
      <c r="F40" s="434"/>
      <c r="G40" s="434"/>
    </row>
    <row r="41" spans="1:7">
      <c r="A41" s="434" t="s">
        <v>740</v>
      </c>
      <c r="B41" s="434"/>
      <c r="C41" s="434"/>
      <c r="D41" s="456" t="s">
        <v>741</v>
      </c>
      <c r="E41" s="568">
        <v>2762</v>
      </c>
      <c r="F41" s="434"/>
      <c r="G41" s="434"/>
    </row>
    <row r="42" spans="1:7">
      <c r="A42" s="434" t="s">
        <v>995</v>
      </c>
      <c r="B42" s="434"/>
      <c r="C42" s="434"/>
      <c r="D42" s="456" t="s">
        <v>725</v>
      </c>
      <c r="E42" s="569">
        <v>36799</v>
      </c>
      <c r="F42" s="434"/>
      <c r="G42" s="434"/>
    </row>
    <row r="43" spans="1:7">
      <c r="A43" s="570" t="s">
        <v>742</v>
      </c>
      <c r="B43" s="434"/>
      <c r="C43" s="434"/>
      <c r="D43" s="434"/>
      <c r="E43" s="564">
        <f>SUM(E34:E42)</f>
        <v>1494528</v>
      </c>
      <c r="F43" s="434"/>
      <c r="G43" s="434"/>
    </row>
    <row r="44" spans="1:7">
      <c r="A44" s="570"/>
      <c r="B44" s="434"/>
      <c r="C44" s="434"/>
      <c r="D44" s="434"/>
      <c r="E44" s="564"/>
      <c r="F44" s="434"/>
      <c r="G44" s="434"/>
    </row>
    <row r="45" spans="1:7">
      <c r="A45" s="434" t="s">
        <v>1195</v>
      </c>
      <c r="B45" s="434"/>
      <c r="C45" s="434"/>
      <c r="D45" s="456" t="s">
        <v>1255</v>
      </c>
      <c r="E45" s="564">
        <v>24121</v>
      </c>
      <c r="F45" s="434"/>
      <c r="G45" s="434"/>
    </row>
    <row r="46" spans="1:7">
      <c r="A46" s="434" t="s">
        <v>1196</v>
      </c>
      <c r="B46" s="434"/>
      <c r="C46" s="434"/>
      <c r="D46" s="456" t="s">
        <v>1256</v>
      </c>
      <c r="E46" s="569">
        <v>29997</v>
      </c>
      <c r="F46" s="434"/>
      <c r="G46" s="434"/>
    </row>
    <row r="47" spans="1:7">
      <c r="A47" s="598" t="s">
        <v>1197</v>
      </c>
      <c r="B47" s="434"/>
      <c r="C47" s="434"/>
      <c r="D47" s="434"/>
      <c r="E47" s="564">
        <f>SUM(E45:E46)</f>
        <v>54118</v>
      </c>
      <c r="F47" s="434"/>
      <c r="G47" s="434"/>
    </row>
    <row r="48" spans="1:7">
      <c r="A48" s="598"/>
      <c r="B48" s="434"/>
      <c r="C48" s="434"/>
      <c r="D48" s="434"/>
      <c r="E48" s="564"/>
      <c r="F48" s="434"/>
      <c r="G48" s="434"/>
    </row>
    <row r="49" spans="1:7">
      <c r="A49" s="434" t="s">
        <v>881</v>
      </c>
      <c r="B49" s="434"/>
      <c r="C49" s="434"/>
      <c r="D49" s="434"/>
      <c r="E49" s="564">
        <f>+E30+E43+E47</f>
        <v>4280043</v>
      </c>
      <c r="F49" s="434"/>
      <c r="G49" s="434"/>
    </row>
    <row r="50" spans="1:7">
      <c r="A50" s="434"/>
      <c r="B50" s="434"/>
      <c r="C50" s="434"/>
      <c r="D50" s="434"/>
      <c r="E50" s="568"/>
      <c r="F50" s="434"/>
      <c r="G50" s="434"/>
    </row>
    <row r="51" spans="1:7" ht="15.6">
      <c r="A51" s="434" t="s">
        <v>883</v>
      </c>
      <c r="B51" s="434"/>
      <c r="C51" s="434"/>
      <c r="D51" s="434"/>
      <c r="E51" s="434"/>
      <c r="F51" s="434"/>
      <c r="G51" s="434"/>
    </row>
    <row r="52" spans="1:7">
      <c r="A52" s="573"/>
      <c r="B52" s="434"/>
      <c r="C52" s="434"/>
      <c r="D52" s="434"/>
      <c r="E52" s="434"/>
      <c r="F52" s="434"/>
      <c r="G52" s="434"/>
    </row>
    <row r="53" spans="1:7" ht="15.6">
      <c r="A53" s="574"/>
      <c r="B53" s="434"/>
      <c r="C53" s="434"/>
      <c r="D53" s="434"/>
      <c r="E53" s="434"/>
      <c r="F53" s="434"/>
      <c r="G53" s="434"/>
    </row>
    <row r="54" spans="1:7">
      <c r="A54" s="434"/>
      <c r="B54" s="434"/>
      <c r="C54" s="434"/>
      <c r="D54" s="434"/>
      <c r="E54" s="434"/>
      <c r="F54" s="434"/>
      <c r="G54" s="434"/>
    </row>
    <row r="61" spans="1:7">
      <c r="A61" s="285" t="s">
        <v>113</v>
      </c>
      <c r="B61" s="285"/>
      <c r="C61" s="285"/>
      <c r="D61" s="285"/>
    </row>
  </sheetData>
  <mergeCells count="4">
    <mergeCell ref="A2:G2"/>
    <mergeCell ref="A4:G4"/>
    <mergeCell ref="A5:G5"/>
    <mergeCell ref="A3:G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A73"/>
  <sheetViews>
    <sheetView showGridLines="0" view="pageBreakPreview" zoomScaleNormal="100" zoomScaleSheetLayoutView="100" workbookViewId="0">
      <pane xSplit="2" topLeftCell="C1" activePane="topRight" state="frozen"/>
      <selection activeCell="L9" sqref="L9"/>
      <selection pane="topRight" activeCell="F47" sqref="F47"/>
    </sheetView>
  </sheetViews>
  <sheetFormatPr defaultColWidth="11" defaultRowHeight="13.2"/>
  <cols>
    <col min="1" max="1" width="4.88671875" style="7" bestFit="1" customWidth="1"/>
    <col min="2" max="2" width="14" style="7" customWidth="1"/>
    <col min="3" max="3" width="15" style="7" customWidth="1"/>
    <col min="4" max="4" width="17.88671875" style="7" customWidth="1"/>
    <col min="5" max="5" width="6.6640625" style="7" bestFit="1" customWidth="1"/>
    <col min="6" max="6" width="20.88671875" style="7" customWidth="1"/>
    <col min="7" max="7" width="15.33203125" style="7" bestFit="1" customWidth="1"/>
    <col min="8" max="8" width="15.109375" style="7" bestFit="1" customWidth="1"/>
    <col min="9" max="9" width="12.5546875" style="7" bestFit="1" customWidth="1"/>
    <col min="10" max="10" width="8.6640625" style="7" bestFit="1" customWidth="1"/>
    <col min="11" max="11" width="12.88671875" style="7" bestFit="1" customWidth="1"/>
    <col min="12" max="12" width="8.6640625" style="7" bestFit="1" customWidth="1"/>
    <col min="13" max="13" width="17.88671875" style="7" customWidth="1"/>
    <col min="14" max="17" width="14" style="7" bestFit="1" customWidth="1"/>
    <col min="18" max="18" width="13.44140625" style="7" bestFit="1" customWidth="1"/>
    <col min="19" max="16384" width="11" style="7"/>
  </cols>
  <sheetData>
    <row r="1" spans="1:18">
      <c r="M1" s="206" t="s">
        <v>113</v>
      </c>
    </row>
    <row r="2" spans="1:18">
      <c r="B2" s="740" t="s">
        <v>625</v>
      </c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</row>
    <row r="3" spans="1:18">
      <c r="B3" s="702" t="s">
        <v>605</v>
      </c>
      <c r="C3" s="692"/>
      <c r="D3" s="692"/>
      <c r="E3" s="692"/>
      <c r="F3" s="692"/>
      <c r="G3" s="692"/>
      <c r="H3" s="692"/>
      <c r="I3" s="692"/>
      <c r="J3" s="692"/>
      <c r="K3" s="692"/>
      <c r="L3" s="692"/>
      <c r="M3" s="692"/>
    </row>
    <row r="4" spans="1:18">
      <c r="B4" s="740" t="s">
        <v>51</v>
      </c>
      <c r="C4" s="692"/>
      <c r="D4" s="692"/>
      <c r="E4" s="692"/>
      <c r="F4" s="692"/>
      <c r="G4" s="692"/>
      <c r="H4" s="692"/>
      <c r="I4" s="692"/>
      <c r="J4" s="692"/>
      <c r="K4" s="692"/>
      <c r="L4" s="692"/>
      <c r="M4" s="692"/>
    </row>
    <row r="5" spans="1:18">
      <c r="B5" s="750" t="s">
        <v>1176</v>
      </c>
      <c r="C5" s="692"/>
      <c r="D5" s="692"/>
      <c r="E5" s="692"/>
      <c r="F5" s="692"/>
      <c r="G5" s="692"/>
      <c r="H5" s="692"/>
      <c r="I5" s="692"/>
      <c r="J5" s="692"/>
      <c r="K5" s="692"/>
      <c r="L5" s="692"/>
      <c r="M5" s="692"/>
    </row>
    <row r="6" spans="1:18">
      <c r="D6" s="8"/>
    </row>
    <row r="7" spans="1:18">
      <c r="C7" s="75"/>
      <c r="D7" s="212"/>
      <c r="E7" s="748" t="s">
        <v>302</v>
      </c>
      <c r="F7" s="749"/>
      <c r="G7" s="749"/>
      <c r="H7" s="749"/>
      <c r="I7" s="213"/>
      <c r="J7" s="213"/>
      <c r="K7" s="213"/>
      <c r="L7" s="214"/>
      <c r="M7" s="57" t="s">
        <v>200</v>
      </c>
      <c r="N7" s="21"/>
    </row>
    <row r="8" spans="1:18">
      <c r="A8" s="9" t="s">
        <v>129</v>
      </c>
      <c r="C8" s="76" t="s">
        <v>103</v>
      </c>
      <c r="D8" s="76"/>
      <c r="E8" s="77"/>
      <c r="F8" s="215" t="s">
        <v>398</v>
      </c>
      <c r="G8" s="77"/>
      <c r="H8" s="216"/>
      <c r="I8" s="76" t="s">
        <v>312</v>
      </c>
      <c r="J8" s="76"/>
      <c r="K8" s="76" t="s">
        <v>313</v>
      </c>
      <c r="L8" s="76"/>
      <c r="M8" s="58" t="s">
        <v>314</v>
      </c>
      <c r="N8" s="44"/>
      <c r="O8" s="21"/>
      <c r="P8" s="21"/>
      <c r="Q8" s="44"/>
    </row>
    <row r="9" spans="1:18">
      <c r="A9" s="140" t="s">
        <v>640</v>
      </c>
      <c r="B9" s="78" t="s">
        <v>108</v>
      </c>
      <c r="C9" s="79" t="s">
        <v>315</v>
      </c>
      <c r="D9" s="79" t="s">
        <v>387</v>
      </c>
      <c r="E9" s="79" t="s">
        <v>400</v>
      </c>
      <c r="F9" s="79" t="s">
        <v>399</v>
      </c>
      <c r="G9" s="79" t="s">
        <v>397</v>
      </c>
      <c r="H9" s="217" t="s">
        <v>395</v>
      </c>
      <c r="I9" s="79" t="s">
        <v>316</v>
      </c>
      <c r="J9" s="79" t="s">
        <v>359</v>
      </c>
      <c r="K9" s="79" t="s">
        <v>317</v>
      </c>
      <c r="L9" s="79" t="s">
        <v>359</v>
      </c>
      <c r="M9" s="59" t="s">
        <v>238</v>
      </c>
      <c r="N9" s="60"/>
      <c r="O9" s="60"/>
      <c r="P9" s="60"/>
      <c r="Q9" s="60"/>
    </row>
    <row r="10" spans="1:18">
      <c r="B10" s="78"/>
      <c r="C10" s="218" t="s">
        <v>389</v>
      </c>
      <c r="D10" s="219"/>
      <c r="E10" s="218" t="s">
        <v>390</v>
      </c>
      <c r="F10" s="222" t="s">
        <v>391</v>
      </c>
      <c r="G10" s="222" t="s">
        <v>392</v>
      </c>
      <c r="H10" s="219"/>
      <c r="I10" s="218" t="s">
        <v>393</v>
      </c>
      <c r="J10" s="219"/>
      <c r="K10" s="218" t="s">
        <v>386</v>
      </c>
      <c r="L10" s="219"/>
      <c r="M10" s="220" t="s">
        <v>401</v>
      </c>
      <c r="N10" s="60"/>
      <c r="O10" s="60"/>
      <c r="P10" s="60"/>
      <c r="Q10" s="60"/>
    </row>
    <row r="11" spans="1:18">
      <c r="A11" s="9">
        <v>1</v>
      </c>
      <c r="B11" s="161">
        <v>42705</v>
      </c>
      <c r="C11" s="14">
        <f>F59</f>
        <v>3582763277.6599998</v>
      </c>
      <c r="D11" s="221" t="s">
        <v>388</v>
      </c>
      <c r="E11" s="14">
        <f>$F$22</f>
        <v>0</v>
      </c>
      <c r="F11" s="12">
        <v>0</v>
      </c>
      <c r="G11" s="12">
        <v>0</v>
      </c>
      <c r="H11" s="221" t="s">
        <v>396</v>
      </c>
      <c r="I11" s="14">
        <f>$F$46</f>
        <v>1758641</v>
      </c>
      <c r="J11" s="221" t="s">
        <v>394</v>
      </c>
      <c r="K11" s="14">
        <f>$F$56</f>
        <v>-9136157</v>
      </c>
      <c r="L11" s="221" t="s">
        <v>705</v>
      </c>
      <c r="M11" s="16">
        <f>+C11-E11-F11-G11-I11-K11</f>
        <v>3590140793.6599998</v>
      </c>
      <c r="N11" s="61"/>
      <c r="O11" s="63"/>
      <c r="P11" s="62"/>
      <c r="Q11" s="15"/>
      <c r="R11" s="31"/>
    </row>
    <row r="12" spans="1:18">
      <c r="A12" s="9"/>
      <c r="C12" s="10"/>
      <c r="D12" s="10"/>
      <c r="E12" s="21"/>
      <c r="F12" s="21"/>
      <c r="G12" s="21"/>
      <c r="H12" s="21"/>
      <c r="I12" s="21"/>
    </row>
    <row r="13" spans="1:18">
      <c r="A13" s="9"/>
      <c r="C13" s="10"/>
      <c r="D13" s="10"/>
      <c r="E13" s="10"/>
      <c r="F13" s="10"/>
      <c r="G13" s="10"/>
      <c r="H13" s="21"/>
      <c r="I13" s="21"/>
      <c r="J13" s="21"/>
      <c r="K13" s="21"/>
      <c r="L13" s="21"/>
    </row>
    <row r="14" spans="1:18">
      <c r="A14" s="9"/>
      <c r="C14" s="10" t="s">
        <v>414</v>
      </c>
      <c r="D14" s="10"/>
      <c r="E14" s="10"/>
      <c r="F14" s="10"/>
      <c r="G14" s="10"/>
      <c r="H14" s="32"/>
      <c r="I14" s="32"/>
    </row>
    <row r="15" spans="1:18">
      <c r="A15" s="9"/>
      <c r="H15" s="32"/>
      <c r="I15" s="32"/>
    </row>
    <row r="16" spans="1:18">
      <c r="A16" s="9"/>
    </row>
    <row r="17" spans="1:19">
      <c r="A17" s="9"/>
    </row>
    <row r="18" spans="1:19" s="165" customFormat="1">
      <c r="A18" s="377"/>
      <c r="B18" s="149" t="s">
        <v>117</v>
      </c>
      <c r="C18" s="162" t="s">
        <v>114</v>
      </c>
      <c r="D18" s="163"/>
      <c r="E18"/>
      <c r="F18" s="164">
        <v>42705</v>
      </c>
      <c r="G18"/>
      <c r="H18"/>
      <c r="I18"/>
      <c r="J18"/>
      <c r="K18"/>
      <c r="L18"/>
      <c r="M18"/>
      <c r="N18"/>
      <c r="O18"/>
      <c r="P18"/>
      <c r="S18" s="163"/>
    </row>
    <row r="19" spans="1:19" s="165" customFormat="1">
      <c r="A19" s="377">
        <v>2</v>
      </c>
      <c r="B19" s="142" t="s">
        <v>318</v>
      </c>
      <c r="C19" s="142" t="s">
        <v>319</v>
      </c>
      <c r="D19" s="64"/>
      <c r="E19"/>
      <c r="F19" s="143">
        <v>260457768</v>
      </c>
      <c r="G19"/>
      <c r="H19"/>
      <c r="I19"/>
      <c r="J19"/>
      <c r="K19"/>
      <c r="L19"/>
      <c r="M19"/>
      <c r="N19"/>
      <c r="O19"/>
      <c r="P19"/>
      <c r="S19" s="64"/>
    </row>
    <row r="20" spans="1:19" s="165" customFormat="1" ht="13.8">
      <c r="A20" s="377"/>
      <c r="B20" s="142"/>
      <c r="C20" s="142"/>
      <c r="D20" s="166" t="s">
        <v>320</v>
      </c>
      <c r="E20"/>
      <c r="F20" s="167" t="s">
        <v>321</v>
      </c>
      <c r="G20"/>
      <c r="H20"/>
      <c r="I20"/>
      <c r="J20"/>
      <c r="K20"/>
      <c r="L20"/>
      <c r="M20"/>
      <c r="N20"/>
      <c r="O20"/>
      <c r="P20"/>
      <c r="S20" s="64"/>
    </row>
    <row r="21" spans="1:19" s="165" customFormat="1">
      <c r="A21" s="377"/>
      <c r="B21" s="142"/>
      <c r="C21" s="142"/>
      <c r="D21" s="64"/>
      <c r="E21"/>
      <c r="F21" s="145"/>
      <c r="G21"/>
      <c r="H21"/>
      <c r="I21"/>
      <c r="J21"/>
      <c r="K21"/>
      <c r="L21"/>
      <c r="M21"/>
      <c r="N21"/>
      <c r="O21"/>
      <c r="P21"/>
      <c r="S21" s="64"/>
    </row>
    <row r="22" spans="1:19" s="165" customFormat="1">
      <c r="A22" s="377">
        <v>3</v>
      </c>
      <c r="B22" s="142" t="s">
        <v>322</v>
      </c>
      <c r="C22" s="142" t="s">
        <v>323</v>
      </c>
      <c r="D22" s="64"/>
      <c r="E22"/>
      <c r="F22" s="143">
        <v>0</v>
      </c>
      <c r="G22"/>
      <c r="H22"/>
      <c r="I22"/>
      <c r="J22"/>
      <c r="K22"/>
      <c r="L22"/>
      <c r="M22"/>
      <c r="N22"/>
      <c r="O22"/>
      <c r="P22"/>
      <c r="S22" s="64"/>
    </row>
    <row r="23" spans="1:19" s="165" customFormat="1" ht="13.8">
      <c r="A23" s="377"/>
      <c r="B23" s="142"/>
      <c r="C23" s="142"/>
      <c r="D23" s="166" t="s">
        <v>320</v>
      </c>
      <c r="E23"/>
      <c r="F23" s="167" t="s">
        <v>300</v>
      </c>
      <c r="G23"/>
      <c r="H23"/>
      <c r="I23"/>
      <c r="J23"/>
      <c r="K23"/>
      <c r="L23"/>
      <c r="M23"/>
      <c r="N23"/>
      <c r="O23"/>
      <c r="P23"/>
      <c r="S23" s="64"/>
    </row>
    <row r="24" spans="1:19" s="165" customFormat="1">
      <c r="A24" s="377"/>
      <c r="B24" s="142"/>
      <c r="C24" s="142"/>
      <c r="D24" s="64"/>
      <c r="E24"/>
      <c r="F24" s="145"/>
      <c r="G24"/>
      <c r="H24"/>
      <c r="I24"/>
      <c r="J24"/>
      <c r="K24"/>
      <c r="L24"/>
      <c r="M24"/>
      <c r="N24"/>
      <c r="O24"/>
      <c r="P24"/>
      <c r="S24" s="64"/>
    </row>
    <row r="25" spans="1:19" s="165" customFormat="1">
      <c r="A25" s="377">
        <v>4</v>
      </c>
      <c r="B25" s="250">
        <v>2070000</v>
      </c>
      <c r="C25" s="142" t="s">
        <v>601</v>
      </c>
      <c r="D25" s="64"/>
      <c r="E25"/>
      <c r="F25" s="143">
        <v>0</v>
      </c>
      <c r="G25"/>
      <c r="H25"/>
      <c r="I25"/>
      <c r="J25"/>
      <c r="K25"/>
      <c r="L25"/>
      <c r="M25"/>
      <c r="N25"/>
      <c r="O25"/>
      <c r="P25"/>
      <c r="S25" s="64"/>
    </row>
    <row r="26" spans="1:19" s="165" customFormat="1" ht="13.8">
      <c r="A26" s="377"/>
      <c r="B26" s="142"/>
      <c r="C26" s="142"/>
      <c r="D26" s="166" t="s">
        <v>320</v>
      </c>
      <c r="E26"/>
      <c r="F26" s="167" t="s">
        <v>305</v>
      </c>
      <c r="G26"/>
      <c r="H26"/>
      <c r="I26"/>
      <c r="J26"/>
      <c r="K26"/>
      <c r="L26"/>
      <c r="M26"/>
      <c r="N26"/>
      <c r="O26"/>
      <c r="P26"/>
      <c r="S26" s="64"/>
    </row>
    <row r="27" spans="1:19" s="165" customFormat="1">
      <c r="A27" s="377"/>
      <c r="B27" s="142"/>
      <c r="C27" s="142"/>
      <c r="D27" s="64"/>
      <c r="E27"/>
      <c r="F27" s="145"/>
      <c r="G27"/>
      <c r="H27"/>
      <c r="I27"/>
      <c r="J27"/>
      <c r="K27"/>
      <c r="L27"/>
      <c r="M27"/>
      <c r="N27"/>
      <c r="O27"/>
      <c r="P27"/>
      <c r="S27" s="64"/>
    </row>
    <row r="28" spans="1:19" s="165" customFormat="1" ht="15.6">
      <c r="A28" s="377">
        <v>5</v>
      </c>
      <c r="B28" s="142" t="s">
        <v>324</v>
      </c>
      <c r="C28" s="142" t="s">
        <v>325</v>
      </c>
      <c r="D28" s="64"/>
      <c r="E28" s="383" t="s">
        <v>944</v>
      </c>
      <c r="F28" s="486">
        <v>1825984502.6600001</v>
      </c>
      <c r="G28"/>
      <c r="H28"/>
      <c r="I28"/>
      <c r="J28"/>
      <c r="K28"/>
      <c r="L28"/>
      <c r="M28"/>
      <c r="N28"/>
      <c r="O28"/>
      <c r="P28"/>
      <c r="S28" s="64"/>
    </row>
    <row r="29" spans="1:19" s="165" customFormat="1" ht="15.6">
      <c r="A29" s="377">
        <v>6</v>
      </c>
      <c r="B29" s="250">
        <v>2100000</v>
      </c>
      <c r="C29" s="142" t="s">
        <v>73</v>
      </c>
      <c r="D29" s="64"/>
      <c r="E29" s="383" t="s">
        <v>944</v>
      </c>
      <c r="F29" s="486">
        <v>433</v>
      </c>
      <c r="G29"/>
      <c r="H29"/>
      <c r="I29"/>
      <c r="J29"/>
      <c r="K29"/>
      <c r="L29"/>
      <c r="M29"/>
      <c r="N29"/>
      <c r="O29"/>
      <c r="P29"/>
      <c r="S29" s="64"/>
    </row>
    <row r="30" spans="1:19" s="165" customFormat="1" ht="15.6">
      <c r="A30" s="377">
        <v>7</v>
      </c>
      <c r="B30" s="250">
        <v>2110000</v>
      </c>
      <c r="C30" s="142" t="s">
        <v>326</v>
      </c>
      <c r="D30" s="64"/>
      <c r="E30" s="383" t="s">
        <v>944</v>
      </c>
      <c r="F30" s="487">
        <v>2642015</v>
      </c>
      <c r="G30"/>
      <c r="H30"/>
      <c r="I30"/>
      <c r="J30"/>
      <c r="K30"/>
      <c r="L30"/>
      <c r="M30"/>
      <c r="N30"/>
      <c r="O30"/>
      <c r="P30"/>
      <c r="S30" s="64"/>
    </row>
    <row r="31" spans="1:19" s="165" customFormat="1">
      <c r="A31" s="377">
        <v>8</v>
      </c>
      <c r="B31" s="142"/>
      <c r="C31" s="142" t="s">
        <v>113</v>
      </c>
      <c r="D31" s="64"/>
      <c r="E31" s="383" t="s">
        <v>113</v>
      </c>
      <c r="F31" s="145">
        <f>SUM(F28:F30)</f>
        <v>1828626950.6600001</v>
      </c>
      <c r="G31"/>
      <c r="H31"/>
      <c r="I31"/>
      <c r="J31"/>
      <c r="K31"/>
      <c r="L31"/>
      <c r="M31"/>
      <c r="N31"/>
      <c r="O31"/>
      <c r="P31"/>
      <c r="S31" s="64"/>
    </row>
    <row r="32" spans="1:19" s="165" customFormat="1" ht="13.8">
      <c r="A32" s="377"/>
      <c r="B32" s="142"/>
      <c r="C32" s="142"/>
      <c r="D32" s="166" t="s">
        <v>320</v>
      </c>
      <c r="E32" s="383" t="s">
        <v>113</v>
      </c>
      <c r="F32" s="167" t="s">
        <v>327</v>
      </c>
      <c r="G32" s="243"/>
      <c r="H32"/>
      <c r="I32"/>
      <c r="J32"/>
      <c r="K32"/>
      <c r="L32"/>
      <c r="M32"/>
      <c r="N32"/>
      <c r="O32"/>
      <c r="P32"/>
      <c r="S32" s="64"/>
    </row>
    <row r="33" spans="1:50" s="165" customFormat="1">
      <c r="A33" s="377"/>
      <c r="B33" s="142"/>
      <c r="C33" s="142"/>
      <c r="D33" s="166"/>
      <c r="E33" s="383" t="s">
        <v>113</v>
      </c>
      <c r="F33" s="167"/>
      <c r="G33"/>
      <c r="H33"/>
      <c r="I33"/>
      <c r="J33"/>
      <c r="K33"/>
      <c r="L33"/>
      <c r="M33"/>
      <c r="N33"/>
      <c r="O33"/>
      <c r="P33"/>
      <c r="S33" s="64"/>
    </row>
    <row r="34" spans="1:50" s="165" customFormat="1" ht="15.6">
      <c r="A34" s="377">
        <v>9</v>
      </c>
      <c r="B34" s="252">
        <v>2151000</v>
      </c>
      <c r="C34" s="142" t="s">
        <v>74</v>
      </c>
      <c r="D34" s="64"/>
      <c r="E34" s="383" t="s">
        <v>944</v>
      </c>
      <c r="F34" s="486">
        <v>15716644</v>
      </c>
      <c r="G34"/>
      <c r="H34"/>
      <c r="I34"/>
      <c r="J34"/>
      <c r="K34"/>
      <c r="L34"/>
      <c r="M34"/>
      <c r="N34"/>
      <c r="O34"/>
      <c r="P34"/>
      <c r="S34" s="64"/>
    </row>
    <row r="35" spans="1:50" s="165" customFormat="1" ht="15.6">
      <c r="A35" s="377">
        <v>10</v>
      </c>
      <c r="B35" s="142" t="s">
        <v>328</v>
      </c>
      <c r="C35" s="142" t="s">
        <v>329</v>
      </c>
      <c r="D35" s="64"/>
      <c r="E35" s="383" t="s">
        <v>944</v>
      </c>
      <c r="F35" s="486">
        <v>1371282742</v>
      </c>
      <c r="G35"/>
      <c r="H35"/>
      <c r="I35"/>
      <c r="J35"/>
      <c r="K35"/>
      <c r="L35"/>
      <c r="M35"/>
      <c r="N35"/>
      <c r="O35"/>
      <c r="P35"/>
      <c r="S35" s="64"/>
    </row>
    <row r="36" spans="1:50" s="165" customFormat="1" ht="15.6">
      <c r="A36" s="377">
        <v>11</v>
      </c>
      <c r="B36" s="251">
        <v>4330000</v>
      </c>
      <c r="C36" s="142" t="s">
        <v>76</v>
      </c>
      <c r="D36" s="64"/>
      <c r="E36" s="383" t="s">
        <v>944</v>
      </c>
      <c r="F36" s="486">
        <v>369056689</v>
      </c>
      <c r="G36" s="397"/>
      <c r="H36"/>
      <c r="I36"/>
      <c r="J36"/>
      <c r="K36"/>
      <c r="L36"/>
      <c r="M36"/>
      <c r="N36"/>
      <c r="O36"/>
      <c r="P36"/>
      <c r="S36" s="64"/>
    </row>
    <row r="37" spans="1:50" s="165" customFormat="1" ht="15.6">
      <c r="A37" s="377">
        <v>12</v>
      </c>
      <c r="B37" s="142" t="s">
        <v>330</v>
      </c>
      <c r="C37" s="142" t="s">
        <v>331</v>
      </c>
      <c r="D37" s="64"/>
      <c r="E37" s="383" t="s">
        <v>944</v>
      </c>
      <c r="F37" s="486">
        <v>0</v>
      </c>
      <c r="G37" s="398"/>
      <c r="H37"/>
      <c r="I37"/>
      <c r="J37"/>
      <c r="K37"/>
      <c r="L37"/>
      <c r="M37"/>
      <c r="N37"/>
      <c r="O37"/>
      <c r="P37"/>
      <c r="S37" s="64"/>
    </row>
    <row r="38" spans="1:50" s="165" customFormat="1" ht="15.6">
      <c r="A38" s="377">
        <v>13</v>
      </c>
      <c r="B38" s="251">
        <v>4380001</v>
      </c>
      <c r="C38" s="142" t="s">
        <v>75</v>
      </c>
      <c r="D38" s="64"/>
      <c r="E38" s="383" t="s">
        <v>944</v>
      </c>
      <c r="F38" s="486">
        <v>-255000000</v>
      </c>
      <c r="G38"/>
      <c r="H38"/>
      <c r="I38"/>
      <c r="J38"/>
      <c r="K38"/>
      <c r="L38"/>
      <c r="M38"/>
      <c r="N38"/>
      <c r="O38"/>
      <c r="P38"/>
      <c r="S38" s="64"/>
    </row>
    <row r="39" spans="1:50" s="165" customFormat="1" ht="15.6">
      <c r="A39" s="377">
        <v>14</v>
      </c>
      <c r="B39" s="142" t="s">
        <v>332</v>
      </c>
      <c r="C39" s="142" t="s">
        <v>333</v>
      </c>
      <c r="D39" s="64"/>
      <c r="E39" s="383" t="s">
        <v>944</v>
      </c>
      <c r="F39" s="489">
        <v>0</v>
      </c>
      <c r="G39"/>
      <c r="H39"/>
      <c r="I39"/>
      <c r="J39"/>
      <c r="K39"/>
      <c r="L39"/>
      <c r="M39"/>
      <c r="N39"/>
      <c r="O39"/>
      <c r="P39"/>
      <c r="S39" s="64"/>
    </row>
    <row r="40" spans="1:50" s="165" customFormat="1">
      <c r="A40" s="377">
        <v>15</v>
      </c>
      <c r="B40" s="142"/>
      <c r="C40" s="142" t="s">
        <v>334</v>
      </c>
      <c r="D40" s="64"/>
      <c r="E40" s="383" t="s">
        <v>113</v>
      </c>
      <c r="F40" s="145">
        <f>SUM(F34:F39)</f>
        <v>1501056075</v>
      </c>
      <c r="G40" s="538"/>
      <c r="H40"/>
      <c r="I40"/>
      <c r="J40"/>
      <c r="K40"/>
      <c r="L40"/>
      <c r="M40"/>
      <c r="N40"/>
      <c r="O40"/>
      <c r="P40"/>
      <c r="S40" s="64"/>
    </row>
    <row r="41" spans="1:50" s="165" customFormat="1" ht="13.8">
      <c r="A41" s="377"/>
      <c r="B41" s="142"/>
      <c r="C41" s="142"/>
      <c r="D41" s="166" t="s">
        <v>320</v>
      </c>
      <c r="E41" s="383" t="s">
        <v>113</v>
      </c>
      <c r="F41" s="167" t="s">
        <v>335</v>
      </c>
      <c r="G41"/>
      <c r="H41"/>
      <c r="I41"/>
      <c r="J41"/>
      <c r="K41"/>
      <c r="L41"/>
      <c r="M41"/>
      <c r="N41"/>
      <c r="O41"/>
      <c r="P41"/>
      <c r="S41" s="64"/>
    </row>
    <row r="42" spans="1:50" s="165" customFormat="1">
      <c r="A42" s="377"/>
      <c r="B42" s="142"/>
      <c r="C42" s="142"/>
      <c r="D42" s="64"/>
      <c r="E42" s="383" t="s">
        <v>113</v>
      </c>
      <c r="F42" s="145"/>
      <c r="G42"/>
      <c r="H42"/>
      <c r="I42"/>
      <c r="J42"/>
      <c r="K42"/>
      <c r="L42"/>
      <c r="M42"/>
      <c r="N42"/>
      <c r="O42"/>
      <c r="P42"/>
      <c r="S42" s="64"/>
    </row>
    <row r="43" spans="1:50" s="165" customFormat="1" ht="15.6">
      <c r="A43" s="377">
        <v>16</v>
      </c>
      <c r="B43" s="142" t="s">
        <v>336</v>
      </c>
      <c r="C43" s="142" t="s">
        <v>337</v>
      </c>
      <c r="D43" s="64"/>
      <c r="E43" s="383" t="s">
        <v>944</v>
      </c>
      <c r="F43" s="486">
        <v>1758641</v>
      </c>
      <c r="G43"/>
      <c r="H43"/>
      <c r="I43"/>
      <c r="J43"/>
      <c r="K43"/>
      <c r="L43"/>
      <c r="M43"/>
      <c r="N43"/>
      <c r="O43"/>
      <c r="P43"/>
      <c r="S43" s="64"/>
    </row>
    <row r="44" spans="1:50" s="165" customFormat="1" ht="15.6">
      <c r="A44" s="377">
        <v>17</v>
      </c>
      <c r="B44" s="142" t="s">
        <v>338</v>
      </c>
      <c r="C44" s="142" t="s">
        <v>339</v>
      </c>
      <c r="D44" s="64"/>
      <c r="E44" s="383" t="s">
        <v>944</v>
      </c>
      <c r="F44" s="486">
        <v>0</v>
      </c>
      <c r="G44"/>
      <c r="H44"/>
      <c r="I44"/>
      <c r="J44"/>
      <c r="K44"/>
      <c r="L44"/>
      <c r="M44"/>
      <c r="N44"/>
      <c r="O44"/>
      <c r="P44"/>
      <c r="S44" s="64"/>
    </row>
    <row r="45" spans="1:50" ht="15.6">
      <c r="A45" s="378">
        <v>18</v>
      </c>
      <c r="B45" s="138" t="s">
        <v>357</v>
      </c>
      <c r="C45" s="7" t="s">
        <v>340</v>
      </c>
      <c r="E45" s="383" t="s">
        <v>944</v>
      </c>
      <c r="F45" s="539">
        <v>0</v>
      </c>
      <c r="G45"/>
      <c r="H45"/>
      <c r="I45"/>
      <c r="J45"/>
      <c r="K45"/>
      <c r="L45"/>
      <c r="M45"/>
      <c r="N45"/>
      <c r="O45"/>
      <c r="P45"/>
      <c r="R45" s="65"/>
    </row>
    <row r="46" spans="1:50" ht="15.6">
      <c r="A46" s="378">
        <v>19</v>
      </c>
      <c r="B46" s="138"/>
      <c r="C46" s="142" t="s">
        <v>341</v>
      </c>
      <c r="E46" s="383" t="s">
        <v>944</v>
      </c>
      <c r="F46" s="37">
        <f>SUM(F43:F45)</f>
        <v>1758641</v>
      </c>
      <c r="G46"/>
      <c r="H46"/>
      <c r="I46"/>
      <c r="J46"/>
      <c r="K46"/>
      <c r="L46"/>
      <c r="M46"/>
      <c r="N46"/>
      <c r="O46"/>
      <c r="P46"/>
    </row>
    <row r="47" spans="1:50" ht="13.8">
      <c r="A47" s="9"/>
      <c r="B47" s="138"/>
      <c r="C47" s="142"/>
      <c r="D47" s="166" t="s">
        <v>320</v>
      </c>
      <c r="E47" s="383" t="s">
        <v>113</v>
      </c>
      <c r="F47" s="167" t="s">
        <v>342</v>
      </c>
      <c r="G47"/>
      <c r="H47"/>
      <c r="I47"/>
      <c r="J47"/>
      <c r="K47"/>
      <c r="L47"/>
      <c r="M47"/>
      <c r="N47"/>
      <c r="O47"/>
      <c r="P47"/>
    </row>
    <row r="48" spans="1:50" s="165" customFormat="1" ht="12.75" customHeight="1">
      <c r="A48" s="377"/>
      <c r="B48" s="168"/>
      <c r="C48" s="169"/>
      <c r="D48" s="64"/>
      <c r="E48" s="383" t="s">
        <v>113</v>
      </c>
      <c r="F48" s="145"/>
      <c r="G48"/>
      <c r="H48"/>
      <c r="I48"/>
      <c r="J48"/>
      <c r="K48"/>
      <c r="L48"/>
      <c r="M48"/>
      <c r="N48"/>
      <c r="O48"/>
      <c r="P48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</row>
    <row r="49" spans="1:53" s="165" customFormat="1" ht="12.75" customHeight="1">
      <c r="A49" s="377">
        <v>20</v>
      </c>
      <c r="B49" s="286">
        <v>2190002</v>
      </c>
      <c r="C49" s="142" t="s">
        <v>581</v>
      </c>
      <c r="D49" s="64"/>
      <c r="E49" s="383" t="s">
        <v>944</v>
      </c>
      <c r="F49" s="486">
        <v>-6625054</v>
      </c>
      <c r="G49"/>
      <c r="H49"/>
      <c r="I49"/>
      <c r="J49"/>
      <c r="K49"/>
      <c r="L49"/>
      <c r="M49"/>
      <c r="N49"/>
      <c r="O49"/>
      <c r="P49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</row>
    <row r="50" spans="1:53" s="165" customFormat="1" ht="15.6">
      <c r="A50" s="377">
        <v>21</v>
      </c>
      <c r="B50" s="142" t="s">
        <v>343</v>
      </c>
      <c r="C50" s="142" t="s">
        <v>344</v>
      </c>
      <c r="D50" s="64"/>
      <c r="E50" s="383" t="s">
        <v>944</v>
      </c>
      <c r="F50" s="486"/>
      <c r="G50"/>
      <c r="H50"/>
      <c r="I50"/>
      <c r="J50"/>
      <c r="K50"/>
      <c r="L50"/>
      <c r="M50"/>
      <c r="N50"/>
      <c r="O50"/>
      <c r="P50"/>
      <c r="S50" s="64"/>
    </row>
    <row r="51" spans="1:53" s="165" customFormat="1" ht="15.6">
      <c r="A51" s="377">
        <v>22</v>
      </c>
      <c r="B51" s="142" t="s">
        <v>345</v>
      </c>
      <c r="C51" s="142" t="s">
        <v>346</v>
      </c>
      <c r="D51" s="64"/>
      <c r="E51" s="383" t="s">
        <v>944</v>
      </c>
      <c r="F51" s="486">
        <v>0</v>
      </c>
      <c r="G51"/>
      <c r="H51"/>
      <c r="I51"/>
      <c r="J51"/>
      <c r="K51"/>
      <c r="L51"/>
      <c r="M51"/>
      <c r="N51"/>
      <c r="O51"/>
      <c r="P51"/>
      <c r="S51" s="64"/>
    </row>
    <row r="52" spans="1:53" s="165" customFormat="1" ht="15.6">
      <c r="A52" s="377">
        <v>23</v>
      </c>
      <c r="B52" s="142" t="s">
        <v>347</v>
      </c>
      <c r="C52" s="142" t="s">
        <v>348</v>
      </c>
      <c r="D52" s="64"/>
      <c r="E52" s="383" t="s">
        <v>944</v>
      </c>
      <c r="F52" s="486">
        <v>-5398723</v>
      </c>
      <c r="G52"/>
      <c r="H52"/>
      <c r="I52"/>
      <c r="J52"/>
      <c r="K52"/>
      <c r="L52"/>
      <c r="M52"/>
      <c r="N52"/>
      <c r="O52"/>
      <c r="P52"/>
      <c r="S52" s="64"/>
    </row>
    <row r="53" spans="1:53" s="165" customFormat="1" ht="15.6">
      <c r="A53" s="377">
        <v>24</v>
      </c>
      <c r="B53" s="251">
        <v>2190010</v>
      </c>
      <c r="C53" s="142" t="s">
        <v>77</v>
      </c>
      <c r="D53" s="64"/>
      <c r="E53" s="383" t="s">
        <v>944</v>
      </c>
      <c r="F53" s="490">
        <v>0</v>
      </c>
      <c r="G53"/>
      <c r="H53"/>
      <c r="I53"/>
      <c r="J53"/>
      <c r="K53"/>
      <c r="L53"/>
      <c r="M53"/>
      <c r="N53"/>
      <c r="O53"/>
      <c r="P53"/>
      <c r="S53" s="64"/>
    </row>
    <row r="54" spans="1:53" s="165" customFormat="1" ht="15.6">
      <c r="A54" s="377">
        <v>25</v>
      </c>
      <c r="B54" s="142" t="s">
        <v>349</v>
      </c>
      <c r="C54" s="142" t="s">
        <v>350</v>
      </c>
      <c r="D54" s="64"/>
      <c r="E54" s="383" t="s">
        <v>944</v>
      </c>
      <c r="F54" s="490">
        <v>2940343</v>
      </c>
      <c r="G54"/>
      <c r="H54"/>
      <c r="I54"/>
      <c r="J54"/>
      <c r="K54"/>
      <c r="L54"/>
      <c r="M54"/>
      <c r="N54"/>
      <c r="O54"/>
      <c r="P54"/>
      <c r="S54" s="64"/>
    </row>
    <row r="55" spans="1:53" s="165" customFormat="1" ht="15.6">
      <c r="A55" s="377">
        <v>26</v>
      </c>
      <c r="B55" s="142" t="s">
        <v>351</v>
      </c>
      <c r="C55" s="142" t="s">
        <v>352</v>
      </c>
      <c r="D55" s="64"/>
      <c r="E55" s="383" t="s">
        <v>944</v>
      </c>
      <c r="F55" s="487">
        <v>-52723</v>
      </c>
      <c r="G55"/>
      <c r="H55"/>
      <c r="I55"/>
      <c r="J55"/>
      <c r="K55"/>
      <c r="L55"/>
      <c r="M55"/>
      <c r="N55"/>
      <c r="O55"/>
      <c r="P55"/>
      <c r="S55" s="64"/>
    </row>
    <row r="56" spans="1:53" s="165" customFormat="1">
      <c r="A56" s="377">
        <v>27</v>
      </c>
      <c r="B56" s="142"/>
      <c r="C56" s="142" t="s">
        <v>353</v>
      </c>
      <c r="D56" s="64"/>
      <c r="E56" s="383" t="s">
        <v>113</v>
      </c>
      <c r="F56" s="145">
        <f>SUM(F49:F55)</f>
        <v>-9136157</v>
      </c>
      <c r="G56"/>
      <c r="H56"/>
      <c r="I56"/>
      <c r="J56"/>
      <c r="K56"/>
      <c r="L56"/>
      <c r="M56"/>
      <c r="N56"/>
      <c r="O56"/>
      <c r="P56"/>
      <c r="S56" s="64"/>
    </row>
    <row r="57" spans="1:53" s="165" customFormat="1" ht="13.8">
      <c r="A57" s="377"/>
      <c r="B57" s="142"/>
      <c r="C57" s="142"/>
      <c r="D57" s="166" t="s">
        <v>320</v>
      </c>
      <c r="E57" s="383" t="s">
        <v>113</v>
      </c>
      <c r="F57" s="167" t="s">
        <v>354</v>
      </c>
      <c r="G57"/>
      <c r="H57"/>
      <c r="I57"/>
      <c r="J57"/>
      <c r="K57"/>
      <c r="L57"/>
      <c r="M57"/>
      <c r="N57"/>
      <c r="O57"/>
      <c r="P57"/>
      <c r="S57" s="64"/>
    </row>
    <row r="58" spans="1:53" s="165" customFormat="1" ht="12.75" customHeight="1">
      <c r="A58" s="377"/>
      <c r="B58" s="168"/>
      <c r="C58" s="169"/>
      <c r="D58" s="64"/>
      <c r="E58" s="383" t="s">
        <v>113</v>
      </c>
      <c r="F58" s="145"/>
      <c r="G58"/>
      <c r="H58"/>
      <c r="I58"/>
      <c r="J58"/>
      <c r="K58"/>
      <c r="L58"/>
      <c r="M58"/>
      <c r="N58"/>
      <c r="O58"/>
      <c r="P58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BA58" s="64"/>
    </row>
    <row r="59" spans="1:53" s="165" customFormat="1" ht="12.75" customHeight="1">
      <c r="A59" s="377">
        <v>28</v>
      </c>
      <c r="B59" s="168"/>
      <c r="C59" s="169" t="s">
        <v>355</v>
      </c>
      <c r="D59" s="64"/>
      <c r="E59" s="383" t="s">
        <v>944</v>
      </c>
      <c r="F59" s="145">
        <f>SUM(F19,F22,F25,F31,F40,F46,F56)</f>
        <v>3582763277.6599998</v>
      </c>
      <c r="G59"/>
      <c r="H59"/>
      <c r="I59"/>
      <c r="J59"/>
      <c r="K59"/>
      <c r="L59"/>
      <c r="M59"/>
      <c r="N59"/>
      <c r="O59"/>
      <c r="P59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BA59" s="64"/>
    </row>
    <row r="60" spans="1:53">
      <c r="A60" s="9"/>
      <c r="D60" s="170"/>
      <c r="E60" s="383" t="s">
        <v>113</v>
      </c>
      <c r="G60"/>
      <c r="H60"/>
      <c r="I60"/>
      <c r="J60"/>
      <c r="K60"/>
      <c r="L60"/>
      <c r="M60"/>
      <c r="N60"/>
      <c r="O60"/>
      <c r="P60"/>
    </row>
    <row r="61" spans="1:53" ht="15.6">
      <c r="A61" s="377">
        <v>29</v>
      </c>
      <c r="C61" s="7" t="s">
        <v>356</v>
      </c>
      <c r="E61" s="383" t="s">
        <v>944</v>
      </c>
      <c r="F61" s="171">
        <f>+F19+F31+F40</f>
        <v>3590140793.6599998</v>
      </c>
      <c r="G61"/>
      <c r="H61"/>
      <c r="I61"/>
      <c r="J61"/>
      <c r="K61"/>
      <c r="L61"/>
      <c r="M61"/>
      <c r="N61"/>
      <c r="O61"/>
      <c r="P61"/>
      <c r="R61" s="171"/>
    </row>
    <row r="62" spans="1:53"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</row>
    <row r="63" spans="1:53">
      <c r="B63" s="172" t="s">
        <v>279</v>
      </c>
    </row>
    <row r="64" spans="1:53" ht="13.8">
      <c r="B64" s="173" t="s">
        <v>561</v>
      </c>
      <c r="E64" s="174"/>
      <c r="Q64" s="174"/>
    </row>
    <row r="65" spans="2:2" ht="13.8">
      <c r="B65" s="175" t="s">
        <v>912</v>
      </c>
    </row>
    <row r="69" spans="2:2" ht="12" customHeight="1"/>
    <row r="70" spans="2:2" hidden="1"/>
    <row r="71" spans="2:2" hidden="1"/>
    <row r="72" spans="2:2" ht="10.5" customHeight="1"/>
    <row r="73" spans="2:2" hidden="1"/>
  </sheetData>
  <mergeCells count="5">
    <mergeCell ref="E7:H7"/>
    <mergeCell ref="B2:M2"/>
    <mergeCell ref="B4:M4"/>
    <mergeCell ref="B5:M5"/>
    <mergeCell ref="B3:M3"/>
  </mergeCells>
  <phoneticPr fontId="2" type="noConversion"/>
  <pageMargins left="0.5" right="0.5" top="0.5" bottom="0.5" header="0.5" footer="0.25"/>
  <pageSetup scale="56" fitToHeight="0" orientation="portrait" r:id="rId1"/>
  <headerFooter alignWithMargins="0">
    <oddFooter>&amp;C&amp;A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92D050"/>
  </sheetPr>
  <dimension ref="A1:M23"/>
  <sheetViews>
    <sheetView showGridLines="0" view="pageBreakPreview" zoomScale="60" zoomScaleNormal="100" workbookViewId="0">
      <pane xSplit="1" topLeftCell="B1" activePane="topRight" state="frozen"/>
      <selection activeCell="L9" sqref="L9"/>
      <selection pane="topRight" activeCell="A6" sqref="A6"/>
    </sheetView>
  </sheetViews>
  <sheetFormatPr defaultColWidth="9.109375" defaultRowHeight="13.2"/>
  <cols>
    <col min="1" max="1" width="8.109375" style="151" bestFit="1" customWidth="1"/>
    <col min="2" max="2" width="13" style="151" customWidth="1"/>
    <col min="3" max="3" width="11.6640625" style="151" customWidth="1"/>
    <col min="4" max="5" width="13.6640625" style="151" customWidth="1"/>
    <col min="6" max="6" width="8.109375" style="151" bestFit="1" customWidth="1"/>
    <col min="7" max="7" width="8.6640625" style="151" bestFit="1" customWidth="1"/>
    <col min="8" max="8" width="13.6640625" style="151" customWidth="1"/>
    <col min="9" max="9" width="13.44140625" style="151" customWidth="1"/>
    <col min="10" max="10" width="18.109375" style="151" customWidth="1"/>
    <col min="11" max="11" width="13.6640625" style="151" customWidth="1"/>
    <col min="12" max="16384" width="9.109375" style="151"/>
  </cols>
  <sheetData>
    <row r="1" spans="1:13">
      <c r="K1" s="299" t="s">
        <v>113</v>
      </c>
    </row>
    <row r="2" spans="1:13">
      <c r="A2" s="752" t="s">
        <v>625</v>
      </c>
      <c r="B2" s="752"/>
      <c r="C2" s="752"/>
      <c r="D2" s="752"/>
      <c r="E2" s="752"/>
      <c r="F2" s="752"/>
      <c r="G2" s="692"/>
      <c r="H2" s="692"/>
      <c r="I2" s="692"/>
      <c r="J2" s="692"/>
      <c r="K2" s="692"/>
    </row>
    <row r="3" spans="1:13">
      <c r="A3" s="751" t="s">
        <v>605</v>
      </c>
      <c r="B3" s="751"/>
      <c r="C3" s="751"/>
      <c r="D3" s="751"/>
      <c r="E3" s="751"/>
      <c r="F3" s="751"/>
      <c r="G3" s="751"/>
      <c r="H3" s="751"/>
      <c r="I3" s="751"/>
      <c r="J3" s="751"/>
      <c r="K3" s="751"/>
    </row>
    <row r="4" spans="1:13">
      <c r="A4" s="752" t="s">
        <v>53</v>
      </c>
      <c r="B4" s="752"/>
      <c r="C4" s="752"/>
      <c r="D4" s="752"/>
      <c r="E4" s="752"/>
      <c r="F4" s="752"/>
      <c r="G4" s="692"/>
      <c r="H4" s="692"/>
      <c r="I4" s="692"/>
      <c r="J4" s="692"/>
      <c r="K4" s="692"/>
    </row>
    <row r="5" spans="1:13">
      <c r="A5" s="753" t="s">
        <v>1176</v>
      </c>
      <c r="B5" s="753"/>
      <c r="C5" s="753"/>
      <c r="D5" s="753"/>
      <c r="E5" s="753"/>
      <c r="F5" s="753"/>
      <c r="G5" s="692"/>
      <c r="H5" s="692"/>
      <c r="I5" s="692"/>
      <c r="J5" s="692"/>
      <c r="K5" s="692"/>
    </row>
    <row r="8" spans="1:13">
      <c r="B8" s="756" t="s">
        <v>302</v>
      </c>
      <c r="C8" s="757"/>
      <c r="D8" s="756" t="s">
        <v>303</v>
      </c>
      <c r="E8" s="757"/>
      <c r="F8" s="756" t="s">
        <v>404</v>
      </c>
      <c r="G8" s="757"/>
      <c r="H8" s="756" t="s">
        <v>405</v>
      </c>
      <c r="I8" s="757"/>
      <c r="J8" s="225" t="s">
        <v>407</v>
      </c>
      <c r="K8" s="152" t="s">
        <v>201</v>
      </c>
    </row>
    <row r="9" spans="1:13">
      <c r="B9" s="754" t="s">
        <v>389</v>
      </c>
      <c r="C9" s="755"/>
      <c r="D9" s="754" t="s">
        <v>390</v>
      </c>
      <c r="E9" s="755"/>
      <c r="F9" s="754" t="s">
        <v>391</v>
      </c>
      <c r="G9" s="755"/>
      <c r="H9" s="754" t="s">
        <v>392</v>
      </c>
      <c r="I9" s="755"/>
      <c r="J9" s="226" t="s">
        <v>408</v>
      </c>
      <c r="K9" s="223"/>
    </row>
    <row r="10" spans="1:13">
      <c r="A10" s="153" t="s">
        <v>108</v>
      </c>
      <c r="B10" s="154" t="s">
        <v>301</v>
      </c>
      <c r="C10" s="154" t="s">
        <v>297</v>
      </c>
      <c r="D10" s="155" t="s">
        <v>304</v>
      </c>
      <c r="E10" s="154" t="s">
        <v>297</v>
      </c>
      <c r="F10" s="156" t="s">
        <v>402</v>
      </c>
      <c r="G10" s="156" t="s">
        <v>297</v>
      </c>
      <c r="H10" s="156" t="s">
        <v>406</v>
      </c>
      <c r="I10" s="156" t="s">
        <v>297</v>
      </c>
      <c r="J10" s="156"/>
      <c r="K10" s="156" t="s">
        <v>202</v>
      </c>
    </row>
    <row r="11" spans="1:13">
      <c r="A11" s="158">
        <v>42339</v>
      </c>
      <c r="B11" s="80">
        <v>0</v>
      </c>
      <c r="C11" s="157" t="s">
        <v>300</v>
      </c>
      <c r="D11" s="80">
        <v>0</v>
      </c>
      <c r="E11" s="157" t="s">
        <v>305</v>
      </c>
      <c r="F11" s="80">
        <v>0</v>
      </c>
      <c r="G11" s="157" t="s">
        <v>403</v>
      </c>
      <c r="H11" s="289">
        <v>0</v>
      </c>
      <c r="I11" s="157" t="s">
        <v>327</v>
      </c>
      <c r="J11" s="157">
        <f>B11+D11-F11+H11</f>
        <v>0</v>
      </c>
      <c r="K11" s="287">
        <v>0</v>
      </c>
    </row>
    <row r="12" spans="1:13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159" t="s">
        <v>113</v>
      </c>
    </row>
    <row r="13" spans="1:13">
      <c r="A13" s="160" t="s">
        <v>103</v>
      </c>
      <c r="B13" s="62">
        <f>SUM(B11:B11)</f>
        <v>0</v>
      </c>
      <c r="C13" s="62"/>
      <c r="D13" s="62">
        <f>SUM(D11:D11)</f>
        <v>0</v>
      </c>
      <c r="E13" s="62"/>
      <c r="F13" s="227">
        <f>SUM(F11:F12)</f>
        <v>0</v>
      </c>
      <c r="G13" s="62"/>
      <c r="H13" s="227">
        <f>SUM(H11:H12)</f>
        <v>0</v>
      </c>
      <c r="I13" s="62"/>
      <c r="J13" s="227">
        <f>SUM(J11:J12)</f>
        <v>0</v>
      </c>
      <c r="K13" s="62">
        <f>SUM(K11:K11)</f>
        <v>0</v>
      </c>
    </row>
    <row r="14" spans="1:13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</row>
    <row r="15" spans="1:13">
      <c r="A15" s="100"/>
      <c r="B15" s="100"/>
      <c r="C15" s="100"/>
      <c r="D15" s="100"/>
      <c r="E15" s="100"/>
      <c r="F15" s="100"/>
    </row>
    <row r="16" spans="1:13">
      <c r="J16" s="228" t="s">
        <v>421</v>
      </c>
      <c r="K16" s="224">
        <f>IF(J13=0,0,K13/J13)</f>
        <v>0</v>
      </c>
    </row>
    <row r="17" spans="1:9">
      <c r="A17" s="7"/>
    </row>
    <row r="18" spans="1:9">
      <c r="A18" s="151" t="s">
        <v>411</v>
      </c>
    </row>
    <row r="19" spans="1:9">
      <c r="A19" s="229" t="s">
        <v>410</v>
      </c>
      <c r="B19" s="151" t="s">
        <v>413</v>
      </c>
    </row>
    <row r="20" spans="1:9">
      <c r="A20" s="229" t="s">
        <v>409</v>
      </c>
      <c r="B20" s="151" t="s">
        <v>412</v>
      </c>
    </row>
    <row r="23" spans="1:9">
      <c r="I23"/>
    </row>
  </sheetData>
  <mergeCells count="12">
    <mergeCell ref="A3:K3"/>
    <mergeCell ref="A2:K2"/>
    <mergeCell ref="A4:K4"/>
    <mergeCell ref="A5:K5"/>
    <mergeCell ref="B9:C9"/>
    <mergeCell ref="D9:E9"/>
    <mergeCell ref="F8:G8"/>
    <mergeCell ref="H8:I8"/>
    <mergeCell ref="H9:I9"/>
    <mergeCell ref="F9:G9"/>
    <mergeCell ref="B8:C8"/>
    <mergeCell ref="D8:E8"/>
  </mergeCells>
  <phoneticPr fontId="2" type="noConversion"/>
  <pageMargins left="0.5" right="0.5" top="0.5" bottom="0.5" header="0.5" footer="0.25"/>
  <pageSetup scale="65" orientation="portrait" r:id="rId1"/>
  <headerFooter alignWithMargins="0">
    <oddFooter>&amp;C&amp;A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6" tint="-0.249977111117893"/>
  </sheetPr>
  <dimension ref="A1:P56"/>
  <sheetViews>
    <sheetView showGridLines="0" view="pageBreakPreview" topLeftCell="F1" zoomScaleNormal="100" zoomScaleSheetLayoutView="100" workbookViewId="0">
      <selection activeCell="I11" sqref="I11"/>
    </sheetView>
  </sheetViews>
  <sheetFormatPr defaultColWidth="11" defaultRowHeight="13.2"/>
  <cols>
    <col min="1" max="1" width="5.6640625" style="7" customWidth="1"/>
    <col min="2" max="3" width="16.6640625" style="7" customWidth="1"/>
    <col min="4" max="4" width="11.6640625" style="7" customWidth="1"/>
    <col min="5" max="5" width="18.88671875" style="7" customWidth="1"/>
    <col min="6" max="6" width="17.5546875" style="7" customWidth="1"/>
    <col min="7" max="7" width="15.5546875" style="7" customWidth="1"/>
    <col min="8" max="8" width="10.6640625" style="7" customWidth="1"/>
    <col min="9" max="9" width="13.44140625" style="7" customWidth="1"/>
    <col min="10" max="10" width="12.33203125" style="7" customWidth="1"/>
    <col min="11" max="11" width="16.6640625" style="7" customWidth="1"/>
    <col min="12" max="12" width="12.33203125" style="7" customWidth="1"/>
    <col min="13" max="13" width="16.6640625" style="7" customWidth="1"/>
    <col min="14" max="14" width="11.6640625" style="7" customWidth="1"/>
    <col min="15" max="15" width="16.6640625" style="7" customWidth="1"/>
    <col min="16" max="16" width="19.88671875" style="7" customWidth="1"/>
    <col min="17" max="19" width="16.6640625" style="7" customWidth="1"/>
    <col min="20" max="16384" width="11" style="7"/>
  </cols>
  <sheetData>
    <row r="1" spans="1:16">
      <c r="B1" s="65"/>
      <c r="P1" s="206" t="s">
        <v>113</v>
      </c>
    </row>
    <row r="2" spans="1:16">
      <c r="A2" s="740" t="s">
        <v>625</v>
      </c>
      <c r="B2" s="692"/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692"/>
      <c r="P2" s="692"/>
    </row>
    <row r="3" spans="1:16">
      <c r="A3" s="702" t="s">
        <v>605</v>
      </c>
      <c r="B3" s="702"/>
      <c r="C3" s="702"/>
      <c r="D3" s="702"/>
      <c r="E3" s="702"/>
      <c r="F3" s="702"/>
      <c r="G3" s="702"/>
      <c r="H3" s="702"/>
      <c r="I3" s="702"/>
      <c r="J3" s="702"/>
      <c r="K3" s="702"/>
      <c r="L3" s="702"/>
      <c r="M3" s="702"/>
      <c r="N3" s="702"/>
      <c r="O3" s="702"/>
      <c r="P3" s="702"/>
    </row>
    <row r="4" spans="1:16">
      <c r="A4" s="740" t="s">
        <v>54</v>
      </c>
      <c r="B4" s="692"/>
      <c r="C4" s="692"/>
      <c r="D4" s="692"/>
      <c r="E4" s="692"/>
      <c r="F4" s="692"/>
      <c r="G4" s="692"/>
      <c r="H4" s="692"/>
      <c r="I4" s="692"/>
      <c r="J4" s="692"/>
      <c r="K4" s="692"/>
      <c r="L4" s="692"/>
      <c r="M4" s="692"/>
      <c r="N4" s="692"/>
      <c r="O4" s="692"/>
      <c r="P4" s="692"/>
    </row>
    <row r="5" spans="1:16">
      <c r="A5" s="750" t="s">
        <v>1176</v>
      </c>
      <c r="B5" s="692"/>
      <c r="C5" s="692"/>
      <c r="D5" s="692"/>
      <c r="E5" s="692"/>
      <c r="F5" s="692"/>
      <c r="G5" s="692"/>
      <c r="H5" s="692"/>
      <c r="I5" s="692"/>
      <c r="J5" s="692"/>
      <c r="K5" s="692"/>
      <c r="L5" s="692"/>
      <c r="M5" s="692"/>
      <c r="N5" s="692"/>
      <c r="O5" s="692"/>
      <c r="P5" s="692"/>
    </row>
    <row r="6" spans="1:16" ht="11.25" customHeight="1"/>
    <row r="7" spans="1:16" ht="25.65" customHeight="1">
      <c r="A7" s="140" t="s">
        <v>129</v>
      </c>
      <c r="B7" s="94" t="s">
        <v>272</v>
      </c>
      <c r="C7" s="93" t="s">
        <v>239</v>
      </c>
      <c r="D7" s="93" t="s">
        <v>416</v>
      </c>
      <c r="E7" s="93" t="s">
        <v>415</v>
      </c>
      <c r="F7" s="93" t="s">
        <v>416</v>
      </c>
      <c r="G7" s="93" t="s">
        <v>417</v>
      </c>
      <c r="H7" s="93" t="s">
        <v>416</v>
      </c>
      <c r="I7" s="93" t="s">
        <v>241</v>
      </c>
      <c r="J7" s="93" t="s">
        <v>416</v>
      </c>
      <c r="K7" s="93" t="s">
        <v>242</v>
      </c>
      <c r="L7" s="93" t="s">
        <v>416</v>
      </c>
      <c r="M7" s="93" t="s">
        <v>243</v>
      </c>
      <c r="N7" s="93" t="s">
        <v>416</v>
      </c>
      <c r="O7" s="93" t="s">
        <v>244</v>
      </c>
      <c r="P7" s="93" t="s">
        <v>378</v>
      </c>
    </row>
    <row r="8" spans="1:16" ht="30" customHeight="1">
      <c r="C8" s="9" t="s">
        <v>245</v>
      </c>
      <c r="D8" s="9"/>
      <c r="E8" s="9">
        <v>2210000</v>
      </c>
      <c r="F8" s="9"/>
      <c r="G8" s="9">
        <v>2220001</v>
      </c>
      <c r="H8" s="9"/>
      <c r="I8" s="9" t="s">
        <v>246</v>
      </c>
      <c r="J8" s="9"/>
      <c r="K8" s="9" t="s">
        <v>247</v>
      </c>
      <c r="L8" s="9"/>
      <c r="M8" s="9" t="s">
        <v>248</v>
      </c>
      <c r="N8" s="9"/>
    </row>
    <row r="9" spans="1:16">
      <c r="C9" s="9" t="s">
        <v>389</v>
      </c>
      <c r="D9" s="9"/>
      <c r="E9" s="9" t="s">
        <v>390</v>
      </c>
      <c r="F9" s="9"/>
      <c r="G9" s="9" t="s">
        <v>391</v>
      </c>
      <c r="H9" s="9"/>
      <c r="I9" s="9" t="s">
        <v>392</v>
      </c>
      <c r="K9" s="9" t="s">
        <v>393</v>
      </c>
      <c r="M9" s="9" t="s">
        <v>386</v>
      </c>
      <c r="O9" s="9" t="s">
        <v>420</v>
      </c>
    </row>
    <row r="10" spans="1:16">
      <c r="A10" s="9">
        <v>1</v>
      </c>
      <c r="B10" s="36">
        <v>42705</v>
      </c>
      <c r="C10" s="542">
        <v>0</v>
      </c>
      <c r="D10" s="543" t="s">
        <v>422</v>
      </c>
      <c r="E10" s="542">
        <v>322118952</v>
      </c>
      <c r="F10" s="543" t="s">
        <v>419</v>
      </c>
      <c r="G10" s="542">
        <v>0</v>
      </c>
      <c r="H10" s="543" t="s">
        <v>418</v>
      </c>
      <c r="I10" s="542">
        <v>0</v>
      </c>
      <c r="J10" s="544" t="s">
        <v>423</v>
      </c>
      <c r="K10" s="542">
        <f>2750000000+250000000+745741307</f>
        <v>3745741307</v>
      </c>
      <c r="L10" s="544" t="s">
        <v>423</v>
      </c>
      <c r="M10" s="542">
        <v>0</v>
      </c>
      <c r="N10" s="544" t="s">
        <v>423</v>
      </c>
      <c r="O10" s="31">
        <f>SUM(C10:M10)</f>
        <v>4067860259</v>
      </c>
      <c r="P10" s="293" t="s">
        <v>381</v>
      </c>
    </row>
    <row r="11" spans="1:16">
      <c r="A11" s="9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6">
      <c r="A12" s="9">
        <v>2</v>
      </c>
      <c r="B12" s="36">
        <v>42705</v>
      </c>
      <c r="C12" s="31">
        <f>AVERAGE(C10:C10)</f>
        <v>0</v>
      </c>
      <c r="D12" s="31"/>
      <c r="E12" s="31">
        <f>AVERAGE(E10:E10)</f>
        <v>322118952</v>
      </c>
      <c r="F12" s="31"/>
      <c r="G12" s="31">
        <f>AVERAGE(G10:G10)</f>
        <v>0</v>
      </c>
      <c r="H12" s="31"/>
      <c r="I12" s="31">
        <f>AVERAGE(I10:I10)</f>
        <v>0</v>
      </c>
      <c r="J12" s="31"/>
      <c r="K12" s="31">
        <f>AVERAGE(K10:K10)</f>
        <v>3745741307</v>
      </c>
      <c r="L12" s="31"/>
      <c r="M12" s="31">
        <f>AVERAGE(M10:M10)</f>
        <v>0</v>
      </c>
      <c r="N12" s="31"/>
      <c r="O12" s="31">
        <f>AVERAGE(O10:O10)</f>
        <v>4067860259</v>
      </c>
      <c r="P12" s="37"/>
    </row>
    <row r="13" spans="1:16">
      <c r="A13" s="9"/>
    </row>
    <row r="14" spans="1:16">
      <c r="A14" s="9"/>
    </row>
    <row r="15" spans="1:16">
      <c r="A15" s="9"/>
      <c r="B15" s="758" t="str">
        <f>A2</f>
        <v>Appalachian Power Company</v>
      </c>
      <c r="C15" s="758"/>
      <c r="D15" s="758"/>
      <c r="E15" s="758"/>
    </row>
    <row r="16" spans="1:16">
      <c r="A16" s="9"/>
      <c r="B16" s="758" t="s">
        <v>199</v>
      </c>
      <c r="C16" s="758"/>
      <c r="D16" s="758"/>
      <c r="E16" s="758"/>
    </row>
    <row r="17" spans="1:8">
      <c r="A17" s="9"/>
      <c r="B17" s="758" t="str">
        <f>A5</f>
        <v>For the Year Ending December 31, 2016</v>
      </c>
      <c r="C17" s="758"/>
      <c r="D17" s="758"/>
      <c r="E17" s="758"/>
    </row>
    <row r="18" spans="1:8">
      <c r="A18" s="9"/>
      <c r="B18" s="8"/>
      <c r="C18" s="8"/>
      <c r="D18" s="8"/>
      <c r="E18" s="8"/>
    </row>
    <row r="19" spans="1:8">
      <c r="A19" s="140" t="s">
        <v>129</v>
      </c>
      <c r="B19" s="141" t="s">
        <v>114</v>
      </c>
      <c r="C19" s="141"/>
      <c r="D19" s="141" t="s">
        <v>240</v>
      </c>
      <c r="E19" s="141"/>
      <c r="F19" s="140" t="s">
        <v>296</v>
      </c>
    </row>
    <row r="20" spans="1:8">
      <c r="A20" s="9">
        <v>1</v>
      </c>
      <c r="B20" s="8" t="s">
        <v>249</v>
      </c>
      <c r="C20" s="7" t="s">
        <v>250</v>
      </c>
      <c r="D20" s="142" t="s">
        <v>251</v>
      </c>
      <c r="F20" s="486">
        <v>11701360</v>
      </c>
    </row>
    <row r="21" spans="1:8">
      <c r="A21" s="483">
        <v>2</v>
      </c>
      <c r="B21" s="484" t="s">
        <v>249</v>
      </c>
      <c r="C21" s="7" t="s">
        <v>996</v>
      </c>
      <c r="D21" s="491">
        <v>4270004</v>
      </c>
      <c r="F21" s="486">
        <v>9525978</v>
      </c>
    </row>
    <row r="22" spans="1:8">
      <c r="A22" s="483">
        <v>3</v>
      </c>
      <c r="B22" s="484" t="s">
        <v>249</v>
      </c>
      <c r="C22" s="7" t="s">
        <v>997</v>
      </c>
      <c r="D22" s="491">
        <v>4270005</v>
      </c>
      <c r="F22" s="486">
        <v>1487066</v>
      </c>
    </row>
    <row r="23" spans="1:8">
      <c r="A23" s="9">
        <v>4</v>
      </c>
      <c r="B23" s="8" t="s">
        <v>249</v>
      </c>
      <c r="C23" s="7" t="s">
        <v>252</v>
      </c>
      <c r="D23" s="142" t="s">
        <v>253</v>
      </c>
      <c r="F23" s="486">
        <v>160533611</v>
      </c>
    </row>
    <row r="24" spans="1:8">
      <c r="A24" s="9">
        <v>5</v>
      </c>
      <c r="B24" s="8" t="s">
        <v>249</v>
      </c>
      <c r="C24" s="7" t="s">
        <v>1208</v>
      </c>
      <c r="D24" s="310">
        <v>4270202</v>
      </c>
      <c r="F24" s="487">
        <v>-6557</v>
      </c>
    </row>
    <row r="25" spans="1:8">
      <c r="A25" s="9">
        <v>6</v>
      </c>
      <c r="B25" s="8"/>
      <c r="D25" s="144" t="s">
        <v>267</v>
      </c>
      <c r="F25" s="430">
        <f>SUM(F20:F24)</f>
        <v>183241458</v>
      </c>
      <c r="H25" s="39"/>
    </row>
    <row r="26" spans="1:8">
      <c r="A26" s="9"/>
      <c r="B26" s="8"/>
      <c r="D26" s="142"/>
      <c r="F26" s="430"/>
    </row>
    <row r="27" spans="1:8">
      <c r="A27" s="9">
        <v>7</v>
      </c>
      <c r="B27" s="146" t="s">
        <v>254</v>
      </c>
      <c r="D27" s="144" t="s">
        <v>265</v>
      </c>
      <c r="F27" s="486">
        <v>2982641</v>
      </c>
    </row>
    <row r="28" spans="1:8">
      <c r="A28" s="9">
        <v>8</v>
      </c>
      <c r="B28" s="8" t="s">
        <v>255</v>
      </c>
      <c r="D28" s="144" t="s">
        <v>266</v>
      </c>
      <c r="F28" s="486">
        <v>4269063</v>
      </c>
    </row>
    <row r="29" spans="1:8">
      <c r="A29" s="9"/>
      <c r="B29" s="8"/>
      <c r="D29" s="142"/>
      <c r="F29" s="486"/>
    </row>
    <row r="30" spans="1:8">
      <c r="A30" s="9">
        <v>9</v>
      </c>
      <c r="B30" s="8" t="s">
        <v>602</v>
      </c>
      <c r="C30" s="7" t="s">
        <v>256</v>
      </c>
      <c r="D30" s="144" t="s">
        <v>268</v>
      </c>
      <c r="F30" s="486">
        <v>0</v>
      </c>
    </row>
    <row r="31" spans="1:8">
      <c r="A31" s="9"/>
      <c r="B31" s="8"/>
      <c r="F31" s="540"/>
    </row>
    <row r="32" spans="1:8">
      <c r="A32" s="9">
        <v>10</v>
      </c>
      <c r="B32" s="8" t="s">
        <v>257</v>
      </c>
      <c r="D32" s="144" t="s">
        <v>269</v>
      </c>
      <c r="F32" s="540">
        <v>0</v>
      </c>
    </row>
    <row r="33" spans="1:11">
      <c r="A33" s="9"/>
      <c r="B33" s="8"/>
      <c r="F33" s="540"/>
    </row>
    <row r="34" spans="1:11">
      <c r="A34" s="9">
        <v>11</v>
      </c>
      <c r="B34" s="146" t="s">
        <v>258</v>
      </c>
      <c r="D34" s="144" t="s">
        <v>270</v>
      </c>
      <c r="F34" s="541">
        <v>0</v>
      </c>
    </row>
    <row r="35" spans="1:11">
      <c r="A35" s="9"/>
      <c r="B35" s="8"/>
      <c r="F35" s="147"/>
    </row>
    <row r="36" spans="1:11" ht="13.8" thickBot="1">
      <c r="A36" s="9">
        <v>12</v>
      </c>
      <c r="B36" s="7" t="s">
        <v>259</v>
      </c>
      <c r="F36" s="148">
        <f>SUM(F25,F27,F28,F30,F32,F34)</f>
        <v>190493162</v>
      </c>
    </row>
    <row r="37" spans="1:11" ht="13.8" thickTop="1">
      <c r="A37" s="9"/>
    </row>
    <row r="38" spans="1:11">
      <c r="A38" s="9">
        <v>13</v>
      </c>
      <c r="B38" s="149" t="s">
        <v>374</v>
      </c>
    </row>
    <row r="39" spans="1:11">
      <c r="A39" s="9">
        <v>14</v>
      </c>
      <c r="B39" s="21" t="s">
        <v>375</v>
      </c>
      <c r="D39" s="7" t="s">
        <v>379</v>
      </c>
      <c r="F39" s="39">
        <f>F25</f>
        <v>183241458</v>
      </c>
    </row>
    <row r="40" spans="1:11">
      <c r="A40" s="9">
        <v>15</v>
      </c>
      <c r="B40" s="21" t="s">
        <v>376</v>
      </c>
      <c r="D40" s="7" t="s">
        <v>380</v>
      </c>
      <c r="F40" s="39">
        <f>F30</f>
        <v>0</v>
      </c>
    </row>
    <row r="41" spans="1:11" ht="13.8" thickBot="1">
      <c r="A41" s="9">
        <v>16</v>
      </c>
      <c r="B41" s="21" t="s">
        <v>377</v>
      </c>
      <c r="F41" s="150">
        <f>SUM(F39:F40)</f>
        <v>183241458</v>
      </c>
      <c r="H41"/>
      <c r="I41"/>
      <c r="J41"/>
      <c r="K41"/>
    </row>
    <row r="42" spans="1:11" ht="13.8" thickTop="1">
      <c r="A42" s="9"/>
      <c r="B42" s="21"/>
      <c r="F42" s="39"/>
    </row>
    <row r="43" spans="1:11">
      <c r="A43" s="9"/>
      <c r="B43" s="21"/>
      <c r="F43" s="39"/>
    </row>
    <row r="44" spans="1:11">
      <c r="A44" s="9">
        <v>17</v>
      </c>
      <c r="B44" s="434" t="s">
        <v>373</v>
      </c>
      <c r="C44" s="434"/>
      <c r="D44" s="434"/>
      <c r="E44" s="434"/>
      <c r="F44" s="430">
        <f>'WP-13a'!E13</f>
        <v>-1128890.3999999999</v>
      </c>
    </row>
    <row r="45" spans="1:11">
      <c r="B45" s="65" t="s">
        <v>425</v>
      </c>
    </row>
    <row r="48" spans="1:11">
      <c r="B48" s="7" t="s">
        <v>1113</v>
      </c>
    </row>
    <row r="50" spans="2:5" ht="13.8" thickBot="1"/>
    <row r="51" spans="2:5">
      <c r="B51" s="368" t="s">
        <v>744</v>
      </c>
      <c r="C51" s="357"/>
      <c r="D51" s="357"/>
      <c r="E51" s="358"/>
    </row>
    <row r="52" spans="2:5">
      <c r="B52" s="359"/>
      <c r="C52" s="21"/>
      <c r="D52" s="21"/>
      <c r="E52" s="360"/>
    </row>
    <row r="53" spans="2:5">
      <c r="B53" s="359">
        <v>4300001</v>
      </c>
      <c r="C53" s="21" t="s">
        <v>745</v>
      </c>
      <c r="D53" s="21"/>
      <c r="E53" s="552">
        <v>0</v>
      </c>
    </row>
    <row r="54" spans="2:5">
      <c r="B54" s="359">
        <v>4300003</v>
      </c>
      <c r="C54" s="21" t="s">
        <v>746</v>
      </c>
      <c r="D54" s="21"/>
      <c r="E54" s="552">
        <v>1198387</v>
      </c>
    </row>
    <row r="55" spans="2:5">
      <c r="B55" s="359"/>
      <c r="C55" s="21" t="s">
        <v>747</v>
      </c>
      <c r="D55" s="21"/>
      <c r="E55" s="552">
        <f>+E53+E54</f>
        <v>1198387</v>
      </c>
    </row>
    <row r="56" spans="2:5" ht="13.8" thickBot="1">
      <c r="B56" s="361"/>
      <c r="C56" s="362"/>
      <c r="D56" s="362"/>
      <c r="E56" s="363"/>
    </row>
  </sheetData>
  <mergeCells count="7">
    <mergeCell ref="B17:E17"/>
    <mergeCell ref="B15:E15"/>
    <mergeCell ref="A2:P2"/>
    <mergeCell ref="A4:P4"/>
    <mergeCell ref="A5:P5"/>
    <mergeCell ref="B16:E16"/>
    <mergeCell ref="A3:P3"/>
  </mergeCells>
  <phoneticPr fontId="2" type="noConversion"/>
  <pageMargins left="0.5" right="0.5" top="0.5" bottom="0.5" header="0.5" footer="0.25"/>
  <pageSetup scale="39" orientation="portrait" r:id="rId1"/>
  <headerFooter alignWithMargins="0">
    <oddFooter>&amp;C&amp;A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37"/>
  <sheetViews>
    <sheetView view="pageBreakPreview" zoomScale="60" zoomScaleNormal="100" workbookViewId="0">
      <selection activeCell="D29" sqref="D29"/>
    </sheetView>
  </sheetViews>
  <sheetFormatPr defaultRowHeight="13.2"/>
  <cols>
    <col min="2" max="2" width="39" customWidth="1"/>
    <col min="3" max="3" width="17.6640625" customWidth="1"/>
    <col min="4" max="4" width="17.44140625" customWidth="1"/>
    <col min="5" max="5" width="13.6640625" customWidth="1"/>
    <col min="6" max="6" width="15.88671875" customWidth="1"/>
    <col min="7" max="7" width="12.5546875" bestFit="1" customWidth="1"/>
    <col min="8" max="8" width="9.33203125" bestFit="1" customWidth="1"/>
    <col min="10" max="10" width="91.33203125" customWidth="1"/>
  </cols>
  <sheetData>
    <row r="1" spans="1:8">
      <c r="A1" s="740" t="s">
        <v>625</v>
      </c>
      <c r="B1" s="740"/>
      <c r="C1" s="740"/>
      <c r="D1" s="740"/>
      <c r="E1" s="740"/>
      <c r="F1" s="740"/>
      <c r="G1" s="740"/>
      <c r="H1" s="297" t="s">
        <v>113</v>
      </c>
    </row>
    <row r="2" spans="1:8">
      <c r="A2" s="687" t="s">
        <v>605</v>
      </c>
      <c r="B2" s="687"/>
      <c r="C2" s="687"/>
      <c r="D2" s="687"/>
      <c r="E2" s="687"/>
      <c r="F2" s="687"/>
      <c r="G2" s="687"/>
      <c r="H2" s="442" t="s">
        <v>113</v>
      </c>
    </row>
    <row r="3" spans="1:8">
      <c r="A3" s="746" t="s">
        <v>52</v>
      </c>
      <c r="B3" s="746"/>
      <c r="C3" s="746"/>
      <c r="D3" s="746"/>
      <c r="E3" s="746"/>
      <c r="F3" s="746"/>
      <c r="G3" s="746"/>
      <c r="H3" s="601"/>
    </row>
    <row r="4" spans="1:8">
      <c r="A4" s="760" t="s">
        <v>1175</v>
      </c>
      <c r="B4" s="760">
        <v>0</v>
      </c>
      <c r="C4" s="760">
        <v>0</v>
      </c>
      <c r="D4" s="760">
        <v>0</v>
      </c>
      <c r="E4" s="760">
        <v>0</v>
      </c>
      <c r="F4" s="760">
        <v>0</v>
      </c>
      <c r="G4" s="760"/>
      <c r="H4" s="601"/>
    </row>
    <row r="5" spans="1:8">
      <c r="A5" s="631"/>
      <c r="B5" s="632"/>
      <c r="C5" s="632"/>
      <c r="D5" s="632"/>
      <c r="E5" s="632"/>
      <c r="F5" s="633"/>
      <c r="G5" s="759" t="s">
        <v>518</v>
      </c>
      <c r="H5" s="759"/>
    </row>
    <row r="6" spans="1:8" ht="79.2">
      <c r="A6" s="634"/>
      <c r="B6" s="635" t="s">
        <v>519</v>
      </c>
      <c r="C6" s="636" t="s">
        <v>947</v>
      </c>
      <c r="D6" s="636" t="str">
        <f>"Less Excludable Amounts (See NOTE on Line "&amp;A4&amp;")"</f>
        <v>Less Excludable Amounts (See NOTE on Line For the Year Ended December 31, 2016)</v>
      </c>
      <c r="E6" s="636" t="s">
        <v>520</v>
      </c>
      <c r="F6" s="636" t="s">
        <v>521</v>
      </c>
      <c r="G6" s="636" t="s">
        <v>522</v>
      </c>
      <c r="H6" s="636" t="s">
        <v>523</v>
      </c>
    </row>
    <row r="7" spans="1:8">
      <c r="A7" s="634"/>
      <c r="B7" s="637"/>
      <c r="C7" s="638"/>
      <c r="D7" s="638"/>
      <c r="E7" s="638"/>
      <c r="F7" s="633"/>
      <c r="G7" s="633"/>
      <c r="H7" s="633"/>
    </row>
    <row r="8" spans="1:8" ht="13.8">
      <c r="A8" s="601"/>
      <c r="B8" s="639" t="s">
        <v>582</v>
      </c>
      <c r="C8" s="640">
        <v>37068</v>
      </c>
      <c r="D8" s="639"/>
      <c r="E8" s="641">
        <f t="shared" ref="E8:E10" si="0">+C8-D8</f>
        <v>37068</v>
      </c>
      <c r="F8" s="643">
        <v>605544</v>
      </c>
      <c r="G8" s="652">
        <v>37742</v>
      </c>
      <c r="H8" s="652">
        <v>48700</v>
      </c>
    </row>
    <row r="9" spans="1:8" ht="13.8">
      <c r="A9" s="601"/>
      <c r="B9" s="639" t="s">
        <v>663</v>
      </c>
      <c r="C9" s="640">
        <v>-194198.39999999999</v>
      </c>
      <c r="D9" s="642"/>
      <c r="E9" s="641">
        <f t="shared" si="0"/>
        <v>-194198.39999999999</v>
      </c>
      <c r="F9" s="643">
        <v>-3738320.2099999995</v>
      </c>
      <c r="G9" s="652">
        <v>38808</v>
      </c>
      <c r="H9" s="652">
        <v>49766</v>
      </c>
    </row>
    <row r="10" spans="1:8" ht="13.8">
      <c r="A10" s="601"/>
      <c r="B10" s="639" t="s">
        <v>664</v>
      </c>
      <c r="C10" s="640">
        <v>159672</v>
      </c>
      <c r="D10" s="643">
        <v>0</v>
      </c>
      <c r="E10" s="641">
        <f t="shared" si="0"/>
        <v>159672</v>
      </c>
      <c r="F10" s="643">
        <v>3386355</v>
      </c>
      <c r="G10" s="652">
        <v>39508</v>
      </c>
      <c r="H10" s="652">
        <v>50496</v>
      </c>
    </row>
    <row r="11" spans="1:8" ht="13.8">
      <c r="A11" s="601"/>
      <c r="B11" s="639" t="s">
        <v>665</v>
      </c>
      <c r="C11" s="640">
        <v>-1131432</v>
      </c>
      <c r="D11" s="643"/>
      <c r="E11" s="641">
        <f>+C11-D11</f>
        <v>-1131432</v>
      </c>
      <c r="F11" s="643">
        <v>-4777160.1500000004</v>
      </c>
      <c r="G11" s="652">
        <v>40603</v>
      </c>
      <c r="H11" s="652">
        <v>44256</v>
      </c>
    </row>
    <row r="12" spans="1:8" ht="13.8">
      <c r="A12" s="601"/>
      <c r="B12" s="644"/>
      <c r="C12" s="645"/>
      <c r="D12" s="645"/>
      <c r="E12" s="646"/>
      <c r="F12" s="647"/>
      <c r="G12" s="647"/>
      <c r="H12" s="648"/>
    </row>
    <row r="13" spans="1:8" ht="13.8">
      <c r="A13" s="601"/>
      <c r="B13" s="649" t="s">
        <v>524</v>
      </c>
      <c r="C13" s="650">
        <f>SUM(C8:C11)</f>
        <v>-1128890.3999999999</v>
      </c>
      <c r="D13" s="650">
        <f>SUM(D8:D10)</f>
        <v>0</v>
      </c>
      <c r="E13" s="650">
        <f>SUM(E8:E11)</f>
        <v>-1128890.3999999999</v>
      </c>
      <c r="F13" s="647"/>
      <c r="G13" s="647"/>
      <c r="H13" s="648"/>
    </row>
    <row r="14" spans="1:8">
      <c r="A14" s="601"/>
      <c r="B14" s="565"/>
      <c r="C14" s="566"/>
      <c r="D14" s="566"/>
      <c r="E14" s="651"/>
      <c r="F14" s="633"/>
      <c r="G14" s="633"/>
      <c r="H14" s="633"/>
    </row>
    <row r="15" spans="1:8">
      <c r="A15" s="601"/>
      <c r="B15" s="601"/>
      <c r="C15" s="601"/>
      <c r="D15" s="601"/>
      <c r="E15" s="601"/>
      <c r="F15" s="601"/>
      <c r="G15" s="601"/>
      <c r="H15" s="601"/>
    </row>
    <row r="16" spans="1:8">
      <c r="A16" s="601"/>
      <c r="B16" s="601"/>
      <c r="C16" s="601"/>
      <c r="D16" s="601"/>
      <c r="E16" s="601"/>
      <c r="F16" s="601"/>
      <c r="G16" s="601"/>
      <c r="H16" s="601"/>
    </row>
    <row r="17" spans="1:8">
      <c r="A17" s="601"/>
      <c r="B17" s="601"/>
      <c r="C17" s="601"/>
      <c r="D17" s="601"/>
      <c r="E17" s="601"/>
      <c r="F17" s="601"/>
      <c r="G17" s="601"/>
      <c r="H17" s="601"/>
    </row>
    <row r="37" spans="40:40">
      <c r="AN37">
        <v>80</v>
      </c>
    </row>
  </sheetData>
  <mergeCells count="5">
    <mergeCell ref="G5:H5"/>
    <mergeCell ref="A1:G1"/>
    <mergeCell ref="A3:G3"/>
    <mergeCell ref="A4:G4"/>
    <mergeCell ref="A2:G2"/>
  </mergeCells>
  <phoneticPr fontId="2" type="noConversion"/>
  <pageMargins left="0.5" right="0.5" top="0.5" bottom="0.5" header="0.5" footer="0.25"/>
  <pageSetup scale="67" orientation="portrait" r:id="rId1"/>
  <headerFooter alignWithMargins="0">
    <oddFooter>&amp;C&amp;A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92D050"/>
  </sheetPr>
  <dimension ref="A1:S71"/>
  <sheetViews>
    <sheetView showGridLines="0" view="pageBreakPreview" topLeftCell="A19" zoomScale="60" zoomScaleNormal="100" workbookViewId="0">
      <selection activeCell="G42" sqref="G42"/>
    </sheetView>
  </sheetViews>
  <sheetFormatPr defaultColWidth="9.109375" defaultRowHeight="13.2"/>
  <cols>
    <col min="1" max="1" width="9.109375" style="7"/>
    <col min="2" max="2" width="9.5546875" style="7" customWidth="1"/>
    <col min="3" max="3" width="8.44140625" style="7" bestFit="1" customWidth="1"/>
    <col min="4" max="4" width="3" style="7" customWidth="1"/>
    <col min="5" max="5" width="15.5546875" style="7" customWidth="1"/>
    <col min="6" max="6" width="16.88671875" style="7" customWidth="1"/>
    <col min="7" max="7" width="15" style="7" customWidth="1"/>
    <col min="8" max="8" width="5.33203125" style="7" customWidth="1"/>
    <col min="9" max="10" width="11.33203125" style="7" customWidth="1"/>
    <col min="11" max="16384" width="9.109375" style="7"/>
  </cols>
  <sheetData>
    <row r="1" spans="1:11">
      <c r="A1" s="7" t="s">
        <v>113</v>
      </c>
      <c r="G1" s="206" t="s">
        <v>113</v>
      </c>
    </row>
    <row r="2" spans="1:11">
      <c r="A2" s="761" t="s">
        <v>625</v>
      </c>
      <c r="B2" s="692"/>
      <c r="C2" s="692"/>
      <c r="D2" s="692"/>
      <c r="E2" s="692"/>
      <c r="F2" s="692"/>
      <c r="G2" s="692"/>
      <c r="H2" s="692"/>
      <c r="I2" s="692"/>
      <c r="J2" s="692"/>
      <c r="K2" s="692"/>
    </row>
    <row r="3" spans="1:11">
      <c r="A3" s="702" t="s">
        <v>605</v>
      </c>
      <c r="B3" s="692"/>
      <c r="C3" s="692"/>
      <c r="D3" s="692"/>
      <c r="E3" s="692"/>
      <c r="F3" s="692"/>
      <c r="G3" s="692"/>
      <c r="H3" s="692"/>
      <c r="I3" s="692"/>
      <c r="J3" s="692"/>
      <c r="K3" s="692"/>
    </row>
    <row r="4" spans="1:11">
      <c r="A4" s="761" t="s">
        <v>55</v>
      </c>
      <c r="B4" s="692"/>
      <c r="C4" s="692"/>
      <c r="D4" s="692"/>
      <c r="E4" s="692"/>
      <c r="F4" s="692"/>
      <c r="G4" s="692"/>
      <c r="H4" s="692"/>
      <c r="I4" s="692"/>
      <c r="J4" s="692"/>
      <c r="K4" s="692"/>
    </row>
    <row r="5" spans="1:11">
      <c r="A5" s="762" t="s">
        <v>1176</v>
      </c>
      <c r="B5" s="692"/>
      <c r="C5" s="692"/>
      <c r="D5" s="692"/>
      <c r="E5" s="692"/>
      <c r="F5" s="692"/>
      <c r="G5" s="692"/>
      <c r="H5" s="692"/>
      <c r="I5" s="692"/>
      <c r="J5" s="692"/>
      <c r="K5" s="692"/>
    </row>
    <row r="7" spans="1:11">
      <c r="F7" s="9" t="s">
        <v>693</v>
      </c>
    </row>
    <row r="8" spans="1:11" s="9" customFormat="1" ht="15.6">
      <c r="B8" s="130" t="s">
        <v>203</v>
      </c>
      <c r="C8" s="130"/>
      <c r="D8" s="131"/>
      <c r="E8" s="132" t="s">
        <v>130</v>
      </c>
      <c r="F8" s="132" t="s">
        <v>933</v>
      </c>
      <c r="G8" s="133" t="s">
        <v>102</v>
      </c>
      <c r="I8" s="140" t="s">
        <v>934</v>
      </c>
    </row>
    <row r="9" spans="1:11">
      <c r="B9" s="19">
        <v>500</v>
      </c>
      <c r="C9" s="19" t="s">
        <v>106</v>
      </c>
      <c r="D9" s="19"/>
      <c r="E9" s="12">
        <f>'WP-10a'!D9</f>
        <v>18458492</v>
      </c>
      <c r="F9" s="12"/>
      <c r="G9" s="14">
        <f>+E9-F9</f>
        <v>18458492</v>
      </c>
      <c r="I9" s="7" t="s">
        <v>898</v>
      </c>
      <c r="J9" s="6"/>
    </row>
    <row r="10" spans="1:11">
      <c r="B10" s="19">
        <v>502</v>
      </c>
      <c r="C10" s="19" t="s">
        <v>106</v>
      </c>
      <c r="D10" s="19"/>
      <c r="E10" s="12">
        <f>'WP-10a'!D11</f>
        <v>47429653</v>
      </c>
      <c r="F10" s="12"/>
      <c r="G10" s="14">
        <f t="shared" ref="G10:G53" si="0">+E10-F10</f>
        <v>47429653</v>
      </c>
      <c r="I10" s="7" t="s">
        <v>758</v>
      </c>
      <c r="J10" s="6"/>
    </row>
    <row r="11" spans="1:11">
      <c r="B11" s="19">
        <v>503</v>
      </c>
      <c r="C11" s="19" t="s">
        <v>107</v>
      </c>
      <c r="D11" s="19"/>
      <c r="E11" s="12">
        <v>0</v>
      </c>
      <c r="F11" s="12"/>
      <c r="G11" s="14">
        <f t="shared" si="0"/>
        <v>0</v>
      </c>
      <c r="I11" s="7" t="s">
        <v>919</v>
      </c>
      <c r="J11" s="6"/>
    </row>
    <row r="12" spans="1:11">
      <c r="B12" s="19" t="s">
        <v>204</v>
      </c>
      <c r="C12" s="19" t="s">
        <v>107</v>
      </c>
      <c r="D12" s="19"/>
      <c r="E12" s="12">
        <v>0</v>
      </c>
      <c r="F12" s="12"/>
      <c r="G12" s="14">
        <f t="shared" si="0"/>
        <v>0</v>
      </c>
      <c r="I12" s="7" t="s">
        <v>920</v>
      </c>
    </row>
    <row r="13" spans="1:11">
      <c r="B13" s="19">
        <v>505</v>
      </c>
      <c r="C13" s="19" t="s">
        <v>106</v>
      </c>
      <c r="D13" s="19"/>
      <c r="E13" s="12">
        <f>'WP-10a'!D12</f>
        <v>260073</v>
      </c>
      <c r="F13" s="12"/>
      <c r="G13" s="14">
        <f t="shared" si="0"/>
        <v>260073</v>
      </c>
      <c r="I13" s="7" t="s">
        <v>759</v>
      </c>
      <c r="J13" s="6"/>
    </row>
    <row r="14" spans="1:11">
      <c r="B14" s="19">
        <v>506</v>
      </c>
      <c r="C14" s="19" t="s">
        <v>106</v>
      </c>
      <c r="D14" s="19"/>
      <c r="E14" s="12">
        <f>'WP-10a'!D13</f>
        <v>32263881</v>
      </c>
      <c r="F14" s="12">
        <v>0</v>
      </c>
      <c r="G14" s="14">
        <f t="shared" si="0"/>
        <v>32263881</v>
      </c>
      <c r="I14" s="7" t="s">
        <v>760</v>
      </c>
      <c r="J14" s="6"/>
    </row>
    <row r="15" spans="1:11">
      <c r="B15" s="19">
        <v>507</v>
      </c>
      <c r="C15" s="19" t="s">
        <v>106</v>
      </c>
      <c r="D15" s="19"/>
      <c r="E15" s="12">
        <f>'WP-10a'!D14</f>
        <v>8903</v>
      </c>
      <c r="F15" s="12"/>
      <c r="G15" s="14">
        <f t="shared" si="0"/>
        <v>8903</v>
      </c>
      <c r="I15" s="7" t="s">
        <v>761</v>
      </c>
      <c r="J15" s="6"/>
    </row>
    <row r="16" spans="1:11">
      <c r="B16" s="19">
        <v>509</v>
      </c>
      <c r="C16" s="19" t="s">
        <v>107</v>
      </c>
      <c r="D16" s="19"/>
      <c r="E16" s="12">
        <f>'WP-10a'!D15</f>
        <v>307782</v>
      </c>
      <c r="F16" s="12"/>
      <c r="G16" s="14">
        <f t="shared" si="0"/>
        <v>307782</v>
      </c>
      <c r="I16" s="7" t="s">
        <v>762</v>
      </c>
      <c r="J16" s="6"/>
    </row>
    <row r="17" spans="2:13">
      <c r="B17" s="19">
        <v>510</v>
      </c>
      <c r="C17" s="19" t="s">
        <v>107</v>
      </c>
      <c r="D17" s="19"/>
      <c r="E17" s="12">
        <f>'WP-10a'!D34</f>
        <v>4600764</v>
      </c>
      <c r="F17" s="12"/>
      <c r="G17" s="14">
        <f t="shared" si="0"/>
        <v>4600764</v>
      </c>
      <c r="I17" s="7" t="s">
        <v>777</v>
      </c>
      <c r="J17" s="13"/>
    </row>
    <row r="18" spans="2:13">
      <c r="B18" s="19">
        <v>511</v>
      </c>
      <c r="C18" s="19" t="s">
        <v>106</v>
      </c>
      <c r="D18" s="19"/>
      <c r="E18" s="12">
        <f>'WP-10a'!D35</f>
        <v>8136638</v>
      </c>
      <c r="F18" s="12"/>
      <c r="G18" s="14">
        <f t="shared" si="0"/>
        <v>8136638</v>
      </c>
      <c r="I18" s="7" t="s">
        <v>778</v>
      </c>
      <c r="J18" s="6"/>
    </row>
    <row r="19" spans="2:13">
      <c r="B19" s="19">
        <v>512</v>
      </c>
      <c r="C19" s="19" t="s">
        <v>107</v>
      </c>
      <c r="D19" s="19"/>
      <c r="E19" s="12">
        <f>'WP-10a'!D36</f>
        <v>59832246</v>
      </c>
      <c r="F19" s="12"/>
      <c r="G19" s="14">
        <f t="shared" si="0"/>
        <v>59832246</v>
      </c>
      <c r="I19" s="7" t="s">
        <v>779</v>
      </c>
      <c r="J19" s="6"/>
      <c r="L19" s="33"/>
      <c r="M19" s="6"/>
    </row>
    <row r="20" spans="2:13">
      <c r="B20" s="19">
        <v>513</v>
      </c>
      <c r="C20" s="19" t="s">
        <v>107</v>
      </c>
      <c r="D20" s="19"/>
      <c r="E20" s="12">
        <f>'WP-10a'!D37</f>
        <v>15711503</v>
      </c>
      <c r="F20" s="12"/>
      <c r="G20" s="14">
        <f t="shared" si="0"/>
        <v>15711503</v>
      </c>
      <c r="I20" s="7" t="s">
        <v>780</v>
      </c>
      <c r="J20" s="6"/>
      <c r="L20" s="33"/>
      <c r="M20" s="6"/>
    </row>
    <row r="21" spans="2:13">
      <c r="B21" s="19">
        <v>514</v>
      </c>
      <c r="C21" s="19" t="s">
        <v>106</v>
      </c>
      <c r="D21" s="19"/>
      <c r="E21" s="12">
        <f>'WP-10a'!D38</f>
        <v>15353783</v>
      </c>
      <c r="F21" s="12"/>
      <c r="G21" s="14">
        <f t="shared" si="0"/>
        <v>15353783</v>
      </c>
      <c r="I21" s="7" t="s">
        <v>781</v>
      </c>
      <c r="J21" s="6"/>
    </row>
    <row r="22" spans="2:13">
      <c r="B22" s="19">
        <v>517</v>
      </c>
      <c r="C22" s="19" t="s">
        <v>106</v>
      </c>
      <c r="D22" s="19"/>
      <c r="E22" s="17">
        <v>0</v>
      </c>
      <c r="F22" s="17"/>
      <c r="G22" s="14">
        <f t="shared" si="0"/>
        <v>0</v>
      </c>
      <c r="I22" s="7" t="s">
        <v>763</v>
      </c>
    </row>
    <row r="23" spans="2:13">
      <c r="B23" s="19">
        <v>519</v>
      </c>
      <c r="C23" s="19" t="s">
        <v>106</v>
      </c>
      <c r="D23" s="19"/>
      <c r="E23" s="17">
        <v>0</v>
      </c>
      <c r="F23" s="17"/>
      <c r="G23" s="14">
        <f t="shared" si="0"/>
        <v>0</v>
      </c>
      <c r="I23" s="7" t="s">
        <v>764</v>
      </c>
      <c r="J23" s="13"/>
    </row>
    <row r="24" spans="2:13">
      <c r="B24" s="19">
        <v>520</v>
      </c>
      <c r="C24" s="19" t="s">
        <v>106</v>
      </c>
      <c r="D24" s="19"/>
      <c r="E24" s="17">
        <v>0</v>
      </c>
      <c r="F24" s="17"/>
      <c r="G24" s="14">
        <f t="shared" si="0"/>
        <v>0</v>
      </c>
      <c r="I24" s="7" t="s">
        <v>765</v>
      </c>
      <c r="J24" s="13"/>
    </row>
    <row r="25" spans="2:13">
      <c r="B25" s="19">
        <v>521</v>
      </c>
      <c r="C25" s="19" t="s">
        <v>106</v>
      </c>
      <c r="D25" s="19"/>
      <c r="E25" s="17">
        <v>0</v>
      </c>
      <c r="F25" s="17"/>
      <c r="G25" s="14">
        <f t="shared" si="0"/>
        <v>0</v>
      </c>
      <c r="I25" s="7" t="s">
        <v>921</v>
      </c>
      <c r="J25" s="2"/>
    </row>
    <row r="26" spans="2:13">
      <c r="B26" s="19" t="s">
        <v>205</v>
      </c>
      <c r="C26" s="19" t="s">
        <v>106</v>
      </c>
      <c r="D26" s="19"/>
      <c r="E26" s="17">
        <v>0</v>
      </c>
      <c r="F26" s="17"/>
      <c r="G26" s="14">
        <f t="shared" si="0"/>
        <v>0</v>
      </c>
      <c r="I26" s="7" t="s">
        <v>922</v>
      </c>
    </row>
    <row r="27" spans="2:13">
      <c r="B27" s="19">
        <v>523</v>
      </c>
      <c r="C27" s="19" t="s">
        <v>106</v>
      </c>
      <c r="D27" s="19"/>
      <c r="E27" s="17">
        <v>0</v>
      </c>
      <c r="F27" s="17"/>
      <c r="G27" s="14">
        <f t="shared" si="0"/>
        <v>0</v>
      </c>
      <c r="I27" s="7" t="s">
        <v>766</v>
      </c>
    </row>
    <row r="28" spans="2:13">
      <c r="B28" s="19">
        <v>524</v>
      </c>
      <c r="C28" s="19" t="s">
        <v>106</v>
      </c>
      <c r="D28" s="19"/>
      <c r="E28" s="17">
        <v>0</v>
      </c>
      <c r="F28" s="17"/>
      <c r="G28" s="14">
        <f t="shared" si="0"/>
        <v>0</v>
      </c>
      <c r="I28" s="7" t="s">
        <v>767</v>
      </c>
    </row>
    <row r="29" spans="2:13">
      <c r="B29" s="19">
        <v>525</v>
      </c>
      <c r="C29" s="19" t="s">
        <v>106</v>
      </c>
      <c r="D29" s="19"/>
      <c r="E29" s="17">
        <v>0</v>
      </c>
      <c r="F29" s="17"/>
      <c r="G29" s="14">
        <f t="shared" si="0"/>
        <v>0</v>
      </c>
      <c r="I29" s="7" t="s">
        <v>932</v>
      </c>
    </row>
    <row r="30" spans="2:13">
      <c r="B30" s="19">
        <v>528</v>
      </c>
      <c r="C30" s="19" t="s">
        <v>107</v>
      </c>
      <c r="D30" s="19"/>
      <c r="E30" s="17">
        <v>0</v>
      </c>
      <c r="F30" s="17"/>
      <c r="G30" s="14">
        <f t="shared" si="0"/>
        <v>0</v>
      </c>
      <c r="I30" s="7" t="s">
        <v>782</v>
      </c>
    </row>
    <row r="31" spans="2:13">
      <c r="B31" s="19">
        <v>529</v>
      </c>
      <c r="C31" s="19" t="s">
        <v>106</v>
      </c>
      <c r="D31" s="19"/>
      <c r="E31" s="17">
        <v>0</v>
      </c>
      <c r="F31" s="17"/>
      <c r="G31" s="14">
        <f t="shared" si="0"/>
        <v>0</v>
      </c>
      <c r="I31" s="7" t="s">
        <v>783</v>
      </c>
    </row>
    <row r="32" spans="2:13">
      <c r="B32" s="19">
        <v>530</v>
      </c>
      <c r="C32" s="19" t="s">
        <v>107</v>
      </c>
      <c r="D32" s="19"/>
      <c r="E32" s="17">
        <v>0</v>
      </c>
      <c r="F32" s="17"/>
      <c r="G32" s="14">
        <f t="shared" si="0"/>
        <v>0</v>
      </c>
      <c r="I32" s="7" t="s">
        <v>784</v>
      </c>
    </row>
    <row r="33" spans="2:9">
      <c r="B33" s="19">
        <v>531</v>
      </c>
      <c r="C33" s="19" t="s">
        <v>107</v>
      </c>
      <c r="D33" s="19"/>
      <c r="E33" s="17">
        <v>0</v>
      </c>
      <c r="F33" s="17"/>
      <c r="G33" s="14">
        <f t="shared" si="0"/>
        <v>0</v>
      </c>
      <c r="I33" s="7" t="s">
        <v>785</v>
      </c>
    </row>
    <row r="34" spans="2:9">
      <c r="B34" s="19">
        <v>532</v>
      </c>
      <c r="C34" s="19" t="s">
        <v>107</v>
      </c>
      <c r="D34" s="19"/>
      <c r="E34" s="17">
        <v>0</v>
      </c>
      <c r="F34" s="17"/>
      <c r="G34" s="14">
        <f t="shared" si="0"/>
        <v>0</v>
      </c>
      <c r="I34" s="7" t="s">
        <v>786</v>
      </c>
    </row>
    <row r="35" spans="2:9">
      <c r="B35" s="19">
        <v>535</v>
      </c>
      <c r="C35" s="19" t="s">
        <v>106</v>
      </c>
      <c r="D35" s="19"/>
      <c r="E35" s="17">
        <f>'WP-10a'!D22</f>
        <v>1413390</v>
      </c>
      <c r="F35" s="17"/>
      <c r="G35" s="14">
        <f t="shared" si="0"/>
        <v>1413390</v>
      </c>
      <c r="I35" s="7" t="s">
        <v>768</v>
      </c>
    </row>
    <row r="36" spans="2:9">
      <c r="B36" s="19">
        <v>536</v>
      </c>
      <c r="C36" s="19" t="s">
        <v>106</v>
      </c>
      <c r="D36" s="19"/>
      <c r="E36" s="17">
        <f>'WP-10a'!D23</f>
        <v>28265</v>
      </c>
      <c r="F36" s="17"/>
      <c r="G36" s="14">
        <f t="shared" si="0"/>
        <v>28265</v>
      </c>
      <c r="I36" s="7" t="s">
        <v>769</v>
      </c>
    </row>
    <row r="37" spans="2:9">
      <c r="B37" s="19">
        <v>537</v>
      </c>
      <c r="C37" s="19" t="s">
        <v>106</v>
      </c>
      <c r="D37" s="19"/>
      <c r="E37" s="17">
        <f>'WP-10a'!D24</f>
        <v>538791</v>
      </c>
      <c r="F37" s="17"/>
      <c r="G37" s="14">
        <f t="shared" si="0"/>
        <v>538791</v>
      </c>
      <c r="I37" s="7" t="s">
        <v>770</v>
      </c>
    </row>
    <row r="38" spans="2:9">
      <c r="B38" s="19">
        <v>538</v>
      </c>
      <c r="C38" s="19" t="s">
        <v>106</v>
      </c>
      <c r="D38" s="19"/>
      <c r="E38" s="17">
        <f>'WP-10a'!D25</f>
        <v>4469</v>
      </c>
      <c r="F38" s="17"/>
      <c r="G38" s="14">
        <f t="shared" si="0"/>
        <v>4469</v>
      </c>
      <c r="I38" s="7" t="s">
        <v>771</v>
      </c>
    </row>
    <row r="39" spans="2:9">
      <c r="B39" s="19">
        <v>539</v>
      </c>
      <c r="C39" s="19" t="s">
        <v>106</v>
      </c>
      <c r="D39" s="19"/>
      <c r="E39" s="17">
        <f>'WP-10a'!D26</f>
        <v>3584691</v>
      </c>
      <c r="F39" s="12"/>
      <c r="G39" s="14">
        <f t="shared" si="0"/>
        <v>3584691</v>
      </c>
      <c r="I39" s="7" t="s">
        <v>772</v>
      </c>
    </row>
    <row r="40" spans="2:9">
      <c r="B40" s="19">
        <v>540</v>
      </c>
      <c r="C40" s="19" t="s">
        <v>106</v>
      </c>
      <c r="D40" s="19"/>
      <c r="E40" s="17">
        <f>'WP-10a'!D27</f>
        <v>428927</v>
      </c>
      <c r="F40" s="17"/>
      <c r="G40" s="14">
        <f t="shared" si="0"/>
        <v>428927</v>
      </c>
      <c r="I40" s="7" t="s">
        <v>901</v>
      </c>
    </row>
    <row r="41" spans="2:9">
      <c r="B41" s="19">
        <v>541</v>
      </c>
      <c r="C41" s="19" t="s">
        <v>106</v>
      </c>
      <c r="D41" s="19"/>
      <c r="E41" s="17">
        <f>'WP-10a'!D44</f>
        <v>442632</v>
      </c>
      <c r="F41" s="17"/>
      <c r="G41" s="14">
        <f t="shared" si="0"/>
        <v>442632</v>
      </c>
      <c r="I41" s="7" t="s">
        <v>787</v>
      </c>
    </row>
    <row r="42" spans="2:9">
      <c r="B42" s="19">
        <v>542</v>
      </c>
      <c r="C42" s="19" t="s">
        <v>106</v>
      </c>
      <c r="D42" s="19"/>
      <c r="E42" s="17">
        <f>'WP-10a'!D45</f>
        <v>3093657</v>
      </c>
      <c r="F42" s="12"/>
      <c r="G42" s="14">
        <f t="shared" si="0"/>
        <v>3093657</v>
      </c>
      <c r="I42" s="7" t="s">
        <v>788</v>
      </c>
    </row>
    <row r="43" spans="2:9">
      <c r="B43" s="19">
        <v>543</v>
      </c>
      <c r="C43" s="19" t="s">
        <v>106</v>
      </c>
      <c r="D43" s="19"/>
      <c r="E43" s="17">
        <f>'WP-10a'!D46</f>
        <v>2354291</v>
      </c>
      <c r="F43" s="17"/>
      <c r="G43" s="14">
        <f t="shared" si="0"/>
        <v>2354291</v>
      </c>
      <c r="I43" s="7" t="s">
        <v>789</v>
      </c>
    </row>
    <row r="44" spans="2:9">
      <c r="B44" s="19">
        <v>544</v>
      </c>
      <c r="C44" s="19" t="s">
        <v>107</v>
      </c>
      <c r="D44" s="19"/>
      <c r="E44" s="17">
        <f>'WP-10a'!D47</f>
        <v>2863662</v>
      </c>
      <c r="F44" s="17"/>
      <c r="G44" s="14">
        <f t="shared" si="0"/>
        <v>2863662</v>
      </c>
      <c r="I44" s="7" t="s">
        <v>790</v>
      </c>
    </row>
    <row r="45" spans="2:9">
      <c r="B45" s="19">
        <v>545</v>
      </c>
      <c r="C45" s="19" t="s">
        <v>106</v>
      </c>
      <c r="D45" s="19"/>
      <c r="E45" s="17">
        <f>'WP-10a'!D48</f>
        <v>429065</v>
      </c>
      <c r="F45" s="17"/>
      <c r="G45" s="14">
        <f t="shared" si="0"/>
        <v>429065</v>
      </c>
      <c r="I45" s="7" t="s">
        <v>791</v>
      </c>
    </row>
    <row r="46" spans="2:9">
      <c r="B46" s="19">
        <v>546</v>
      </c>
      <c r="C46" s="19" t="s">
        <v>106</v>
      </c>
      <c r="D46" s="19"/>
      <c r="E46" s="17">
        <f>'WP-10a'!D28</f>
        <v>105112</v>
      </c>
      <c r="F46" s="17"/>
      <c r="G46" s="14">
        <f t="shared" si="0"/>
        <v>105112</v>
      </c>
      <c r="I46" s="7" t="s">
        <v>773</v>
      </c>
    </row>
    <row r="47" spans="2:9">
      <c r="B47" s="19">
        <v>548</v>
      </c>
      <c r="C47" s="19" t="s">
        <v>106</v>
      </c>
      <c r="D47" s="19"/>
      <c r="E47" s="17">
        <f>'WP-10a'!D30</f>
        <v>456884</v>
      </c>
      <c r="F47" s="17"/>
      <c r="G47" s="14">
        <f t="shared" si="0"/>
        <v>456884</v>
      </c>
      <c r="I47" s="7" t="s">
        <v>775</v>
      </c>
    </row>
    <row r="48" spans="2:9">
      <c r="B48" s="19">
        <v>549</v>
      </c>
      <c r="C48" s="19" t="s">
        <v>106</v>
      </c>
      <c r="D48" s="19"/>
      <c r="E48" s="17">
        <f>'WP-10a'!D31</f>
        <v>15523</v>
      </c>
      <c r="F48" s="17"/>
      <c r="G48" s="14">
        <f t="shared" si="0"/>
        <v>15523</v>
      </c>
      <c r="I48" s="7" t="s">
        <v>776</v>
      </c>
    </row>
    <row r="49" spans="2:19">
      <c r="B49" s="19">
        <v>550</v>
      </c>
      <c r="C49" s="19" t="s">
        <v>106</v>
      </c>
      <c r="D49" s="19"/>
      <c r="E49" s="17">
        <v>0</v>
      </c>
      <c r="F49" s="17"/>
      <c r="G49" s="14">
        <f t="shared" si="0"/>
        <v>0</v>
      </c>
      <c r="I49" s="7" t="s">
        <v>923</v>
      </c>
    </row>
    <row r="50" spans="2:19">
      <c r="B50" s="19">
        <v>551</v>
      </c>
      <c r="C50" s="19" t="s">
        <v>106</v>
      </c>
      <c r="D50" s="19"/>
      <c r="E50" s="11">
        <v>0</v>
      </c>
      <c r="F50" s="11"/>
      <c r="G50" s="14">
        <f t="shared" si="0"/>
        <v>0</v>
      </c>
      <c r="I50" s="7" t="s">
        <v>792</v>
      </c>
    </row>
    <row r="51" spans="2:19">
      <c r="B51" s="19">
        <v>552</v>
      </c>
      <c r="C51" s="19" t="s">
        <v>106</v>
      </c>
      <c r="D51" s="19"/>
      <c r="E51" s="17">
        <v>0</v>
      </c>
      <c r="F51" s="17"/>
      <c r="G51" s="14">
        <f t="shared" si="0"/>
        <v>0</v>
      </c>
      <c r="I51" s="7" t="s">
        <v>924</v>
      </c>
    </row>
    <row r="52" spans="2:19">
      <c r="B52" s="19">
        <v>553</v>
      </c>
      <c r="C52" s="19" t="s">
        <v>106</v>
      </c>
      <c r="D52" s="19"/>
      <c r="E52" s="17">
        <f>'WP-10a'!D50</f>
        <v>1631025</v>
      </c>
      <c r="F52" s="17"/>
      <c r="G52" s="14">
        <f t="shared" si="0"/>
        <v>1631025</v>
      </c>
      <c r="I52" s="7" t="s">
        <v>793</v>
      </c>
    </row>
    <row r="53" spans="2:19">
      <c r="B53" s="19">
        <v>554</v>
      </c>
      <c r="C53" s="19" t="s">
        <v>106</v>
      </c>
      <c r="D53" s="19"/>
      <c r="E53" s="17">
        <f>'WP-10a'!D51</f>
        <v>0</v>
      </c>
      <c r="F53" s="17"/>
      <c r="G53" s="14">
        <f t="shared" si="0"/>
        <v>0</v>
      </c>
      <c r="I53" s="7" t="s">
        <v>902</v>
      </c>
    </row>
    <row r="54" spans="2:19">
      <c r="B54" s="19"/>
      <c r="C54" s="19"/>
      <c r="D54" s="19"/>
      <c r="E54" s="17"/>
      <c r="F54" s="17"/>
      <c r="G54" s="20"/>
    </row>
    <row r="55" spans="2:19">
      <c r="B55" s="19"/>
      <c r="C55" s="19"/>
      <c r="D55" s="19"/>
      <c r="E55" s="17"/>
      <c r="F55" s="17"/>
      <c r="G55" s="20"/>
    </row>
    <row r="56" spans="2:19">
      <c r="B56" s="19"/>
      <c r="C56" s="19"/>
      <c r="D56" s="19"/>
      <c r="E56" s="17"/>
      <c r="F56" s="17"/>
      <c r="G56" s="20"/>
    </row>
    <row r="57" spans="2:19">
      <c r="B57" s="7" t="s">
        <v>102</v>
      </c>
      <c r="E57" s="134">
        <f>+E9+E10+E11-E12+E13+E14+E15+E16+E17+E18+E19+E20+E21+E22+E23+E24+E25-E26+E27+E28+E29+E30+E31+E32+E33+E34+E35+E36+E37+E38+E39+E40+E41+E42+E43+E44+E45+E46+E47+E48+E49+E50+E51+E52+E53</f>
        <v>219754102</v>
      </c>
      <c r="F57" s="134">
        <f>+F9+F10+F11-F12+F13+F14+F15+F16+F17+F18+F19+F20+F21+F22+F23+F24+F25-F26+F27+F28+F29+F30+F31+F32+F33+F34+F35+F36+F37+F38+F39+F40+F41+F42+F43+F44+F45+F46+F47+F48+F49+F50+F51+F52+F53</f>
        <v>0</v>
      </c>
      <c r="G57" s="134">
        <f>+G9+G10+G11-G12+G13+G14+G15+G16+G17+G18+G19+G20+G21+G22+G23+G24+G25-G26+G27+G28+G29+G30+G31+G32+G33+G34+G35+G36+G37+G38+G39+G40+G41+G42+G43+G44+G45+G46+G47+G48+G49+G50+G51+G52+G53</f>
        <v>219754102</v>
      </c>
    </row>
    <row r="58" spans="2:19">
      <c r="E58" s="16"/>
      <c r="F58" s="16"/>
      <c r="G58" s="16"/>
    </row>
    <row r="59" spans="2:19">
      <c r="E59" s="13"/>
      <c r="F59" s="13"/>
      <c r="G59" s="13"/>
    </row>
    <row r="60" spans="2:19">
      <c r="B60" s="7" t="s">
        <v>106</v>
      </c>
      <c r="E60" s="13">
        <f>+E9+E10+E13+E14+E15+E18+E21+E35+E36+E37+E38+E39+E40+E41+E42+E43+E45+E46+E47+E48+E50+E52+E53</f>
        <v>136438145</v>
      </c>
      <c r="F60" s="13">
        <f>+F9+F10+F13+F14+F15+F18+F21+F35+F36+F37+F38+F39+F40+F41+F42+F43+F45+F46+F47+F48+F50+F52+F53</f>
        <v>0</v>
      </c>
      <c r="G60" s="13">
        <f>+G9+G10+G13+G14+G15+G18+G21+G35+G36+G37+G38+G39+G40+G41+G42+G43+G45+G46+G47+G48+G50+G52+G53</f>
        <v>136438145</v>
      </c>
      <c r="H60" s="135"/>
      <c r="I60" s="9"/>
    </row>
    <row r="61" spans="2:19">
      <c r="B61" s="7" t="s">
        <v>206</v>
      </c>
      <c r="E61" s="22">
        <f>+E16+E17+E19+E20+E44</f>
        <v>83315957</v>
      </c>
      <c r="F61" s="22">
        <f>+F16+F17+F19+F20+F44</f>
        <v>0</v>
      </c>
      <c r="G61" s="22">
        <f>+G16+G17+G19+G20+G44</f>
        <v>83315957</v>
      </c>
      <c r="H61" s="135"/>
      <c r="I61" s="27"/>
      <c r="J61" s="13"/>
    </row>
    <row r="62" spans="2:19">
      <c r="B62" s="7" t="s">
        <v>103</v>
      </c>
      <c r="E62" s="13">
        <f>SUM(E60:E61)</f>
        <v>219754102</v>
      </c>
      <c r="F62" s="13">
        <f>SUM(F60:F61)</f>
        <v>0</v>
      </c>
      <c r="G62" s="13">
        <f>SUM(G60:G61)</f>
        <v>219754102</v>
      </c>
      <c r="S62" s="7" t="s">
        <v>593</v>
      </c>
    </row>
    <row r="63" spans="2:19">
      <c r="E63" s="13"/>
      <c r="F63" s="13"/>
      <c r="G63" s="13"/>
    </row>
    <row r="64" spans="2:19">
      <c r="B64" s="7" t="s">
        <v>106</v>
      </c>
      <c r="C64" s="7" t="s">
        <v>209</v>
      </c>
      <c r="E64"/>
      <c r="F64"/>
      <c r="G64" s="137">
        <f>ROUND(G60/G62,5)</f>
        <v>0.62087000000000003</v>
      </c>
    </row>
    <row r="65" spans="1:7">
      <c r="B65" s="7" t="s">
        <v>206</v>
      </c>
      <c r="C65" s="138" t="s">
        <v>209</v>
      </c>
      <c r="D65" s="65"/>
      <c r="E65"/>
      <c r="F65"/>
      <c r="G65" s="139">
        <f>ROUND(G61/G62,5)</f>
        <v>0.37913000000000002</v>
      </c>
    </row>
    <row r="66" spans="1:7">
      <c r="B66" s="7" t="s">
        <v>103</v>
      </c>
      <c r="C66" s="7" t="s">
        <v>209</v>
      </c>
      <c r="E66"/>
      <c r="F66"/>
      <c r="G66" s="137">
        <f>SUM(G64:G65)</f>
        <v>1</v>
      </c>
    </row>
    <row r="67" spans="1:7">
      <c r="E67" s="136"/>
      <c r="F67" s="136"/>
    </row>
    <row r="69" spans="1:7">
      <c r="A69" s="141" t="s">
        <v>279</v>
      </c>
      <c r="E69" s="137"/>
      <c r="F69" s="137"/>
      <c r="G69" s="13"/>
    </row>
    <row r="70" spans="1:7" ht="15.6">
      <c r="A70" s="382" t="s">
        <v>936</v>
      </c>
    </row>
    <row r="71" spans="1:7" ht="15.6">
      <c r="A71" s="7" t="s">
        <v>935</v>
      </c>
    </row>
  </sheetData>
  <mergeCells count="4">
    <mergeCell ref="A2:K2"/>
    <mergeCell ref="A3:K3"/>
    <mergeCell ref="A4:K4"/>
    <mergeCell ref="A5:K5"/>
  </mergeCells>
  <phoneticPr fontId="2" type="noConversion"/>
  <pageMargins left="0.5" right="0.5" top="0.5" bottom="0.5" header="0.5" footer="0.25"/>
  <pageSetup scale="71" orientation="portrait" r:id="rId1"/>
  <headerFooter alignWithMargins="0">
    <oddFooter>&amp;C&amp;A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FFFF00"/>
  </sheetPr>
  <dimension ref="A1:O15"/>
  <sheetViews>
    <sheetView showGridLines="0" zoomScaleNormal="100" workbookViewId="0">
      <selection activeCell="L9" sqref="L9"/>
    </sheetView>
  </sheetViews>
  <sheetFormatPr defaultColWidth="17.88671875" defaultRowHeight="13.2"/>
  <cols>
    <col min="1" max="1" width="29.33203125" style="24" customWidth="1"/>
    <col min="2" max="2" width="2.109375" style="24" customWidth="1"/>
    <col min="3" max="14" width="13.44140625" style="24" customWidth="1"/>
    <col min="15" max="15" width="15" style="24" bestFit="1" customWidth="1"/>
    <col min="16" max="16" width="9.88671875" style="24" customWidth="1"/>
    <col min="17" max="17" width="8.109375" style="24" bestFit="1" customWidth="1"/>
    <col min="18" max="16384" width="17.88671875" style="24"/>
  </cols>
  <sheetData>
    <row r="1" spans="1:15">
      <c r="A1" s="692" t="s">
        <v>625</v>
      </c>
      <c r="B1" s="692"/>
      <c r="C1" s="692"/>
      <c r="D1" s="692"/>
      <c r="E1" s="692"/>
      <c r="F1" s="692"/>
      <c r="G1" s="241"/>
      <c r="H1" s="241"/>
    </row>
    <row r="2" spans="1:15">
      <c r="A2" s="699" t="s">
        <v>605</v>
      </c>
      <c r="B2" s="692"/>
      <c r="C2" s="692"/>
      <c r="D2" s="692"/>
      <c r="E2" s="692"/>
      <c r="F2" s="692"/>
      <c r="G2" s="241"/>
      <c r="H2" s="241"/>
    </row>
    <row r="3" spans="1:15">
      <c r="A3" s="692" t="s">
        <v>620</v>
      </c>
      <c r="B3" s="692"/>
      <c r="C3" s="692"/>
      <c r="D3" s="692"/>
      <c r="E3" s="692"/>
      <c r="F3" s="692"/>
      <c r="G3" s="241"/>
      <c r="H3" s="241"/>
    </row>
    <row r="4" spans="1:15">
      <c r="A4" s="696" t="s">
        <v>113</v>
      </c>
      <c r="B4" s="696"/>
      <c r="C4" s="696"/>
      <c r="D4" s="696"/>
      <c r="E4" s="696"/>
      <c r="F4" s="696"/>
      <c r="G4" s="294"/>
    </row>
    <row r="5" spans="1:15">
      <c r="A5" s="763" t="s">
        <v>113</v>
      </c>
      <c r="B5" s="763"/>
      <c r="C5" s="763"/>
      <c r="D5" s="763"/>
      <c r="E5" s="763"/>
      <c r="F5" s="763"/>
      <c r="G5" s="763"/>
      <c r="H5" s="763"/>
      <c r="I5" s="763"/>
      <c r="J5" s="763"/>
      <c r="K5" s="763"/>
      <c r="L5" s="763"/>
      <c r="M5" s="763"/>
      <c r="N5" s="763"/>
      <c r="O5" s="763"/>
    </row>
    <row r="6" spans="1:15">
      <c r="A6" s="696" t="s">
        <v>113</v>
      </c>
      <c r="B6" s="696"/>
      <c r="C6" s="696"/>
      <c r="D6" s="696"/>
      <c r="E6" s="696"/>
      <c r="F6" s="696"/>
      <c r="G6" s="696"/>
      <c r="H6" s="696"/>
      <c r="I6" s="696"/>
      <c r="J6" s="696"/>
      <c r="K6" s="696"/>
      <c r="L6" s="696"/>
      <c r="M6" s="696"/>
      <c r="N6" s="696"/>
      <c r="O6" s="696"/>
    </row>
    <row r="7" spans="1:15">
      <c r="A7" s="26"/>
      <c r="B7" s="26"/>
    </row>
    <row r="8" spans="1:15">
      <c r="A8" t="s">
        <v>619</v>
      </c>
      <c r="B8" s="26"/>
    </row>
    <row r="9" spans="1:15">
      <c r="C9"/>
      <c r="D9"/>
      <c r="E9"/>
      <c r="F9"/>
      <c r="G9"/>
      <c r="H9"/>
      <c r="I9"/>
      <c r="J9"/>
      <c r="K9"/>
      <c r="L9"/>
      <c r="M9"/>
      <c r="N9"/>
      <c r="O9"/>
    </row>
    <row r="10" spans="1:15">
      <c r="A10"/>
      <c r="B10"/>
      <c r="C10"/>
      <c r="D10" s="25"/>
      <c r="E10" s="25"/>
      <c r="F10" s="25"/>
      <c r="G10" s="25"/>
      <c r="H10" s="25"/>
      <c r="I10" s="25"/>
      <c r="J10" s="25"/>
      <c r="K10" s="25"/>
      <c r="L10" s="25"/>
    </row>
    <row r="11" spans="1:15">
      <c r="A11"/>
      <c r="B11"/>
      <c r="C11"/>
      <c r="D11" s="25"/>
      <c r="E11" s="25"/>
      <c r="F11" s="25"/>
      <c r="G11" s="25"/>
      <c r="H11" s="25"/>
      <c r="I11" s="25"/>
      <c r="J11" s="25"/>
      <c r="K11" s="25"/>
      <c r="L11" s="25"/>
    </row>
    <row r="12" spans="1:15">
      <c r="A12"/>
      <c r="B12"/>
      <c r="C12"/>
      <c r="D12" s="25"/>
      <c r="E12" s="25"/>
      <c r="F12" s="25"/>
      <c r="G12" s="25"/>
      <c r="H12" s="25"/>
      <c r="I12" s="25"/>
      <c r="J12" s="25"/>
      <c r="K12" s="25"/>
      <c r="L12" s="25"/>
    </row>
    <row r="13" spans="1:15">
      <c r="A13"/>
      <c r="B13"/>
      <c r="C13"/>
      <c r="D13" s="25"/>
      <c r="E13" s="25"/>
      <c r="F13" s="25"/>
      <c r="G13" s="25"/>
      <c r="H13" s="25"/>
      <c r="I13" s="25"/>
      <c r="J13" s="25"/>
      <c r="K13" s="25"/>
      <c r="L13" s="25"/>
    </row>
    <row r="14" spans="1:15">
      <c r="A14"/>
      <c r="B14"/>
      <c r="C14"/>
      <c r="D14" s="25"/>
      <c r="E14" s="25"/>
      <c r="F14" s="25"/>
      <c r="G14" s="25"/>
      <c r="H14" s="25"/>
      <c r="I14" s="25"/>
      <c r="J14" s="25"/>
      <c r="K14" s="25"/>
      <c r="L14" s="25"/>
    </row>
    <row r="15" spans="1:15">
      <c r="A15"/>
      <c r="B15"/>
      <c r="C15"/>
      <c r="D15" s="25"/>
      <c r="E15" s="25"/>
      <c r="F15" s="25"/>
      <c r="G15" s="25"/>
      <c r="H15" s="25"/>
      <c r="I15" s="25"/>
      <c r="J15" s="25"/>
      <c r="K15" s="25"/>
      <c r="L15" s="25"/>
    </row>
  </sheetData>
  <mergeCells count="6">
    <mergeCell ref="A5:O5"/>
    <mergeCell ref="A6:O6"/>
    <mergeCell ref="A1:F1"/>
    <mergeCell ref="A2:F2"/>
    <mergeCell ref="A3:F3"/>
    <mergeCell ref="A4:F4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"/>
  <sheetViews>
    <sheetView workbookViewId="0">
      <selection activeCell="L9" sqref="L9"/>
    </sheetView>
  </sheetViews>
  <sheetFormatPr defaultRowHeight="13.2"/>
  <sheetData>
    <row r="1" spans="1:8">
      <c r="A1" s="692" t="s">
        <v>625</v>
      </c>
      <c r="B1" s="692"/>
      <c r="C1" s="692"/>
      <c r="D1" s="692"/>
      <c r="E1" s="692"/>
      <c r="F1" s="692"/>
      <c r="G1" s="692"/>
      <c r="H1" s="692"/>
    </row>
    <row r="2" spans="1:8">
      <c r="A2" s="699" t="s">
        <v>605</v>
      </c>
      <c r="B2" s="692"/>
      <c r="C2" s="692"/>
      <c r="D2" s="692"/>
      <c r="E2" s="692"/>
      <c r="F2" s="692"/>
      <c r="G2" s="692"/>
      <c r="H2" s="692"/>
    </row>
    <row r="3" spans="1:8">
      <c r="A3" s="692" t="s">
        <v>67</v>
      </c>
      <c r="B3" s="692"/>
      <c r="C3" s="692"/>
      <c r="D3" s="692"/>
      <c r="E3" s="692"/>
      <c r="F3" s="692"/>
      <c r="G3" s="692"/>
      <c r="H3" s="692"/>
    </row>
    <row r="6" spans="1:8">
      <c r="B6" t="s">
        <v>619</v>
      </c>
    </row>
  </sheetData>
  <mergeCells count="3">
    <mergeCell ref="A1:H1"/>
    <mergeCell ref="A2:H2"/>
    <mergeCell ref="A3:H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rgb="FF92D050"/>
  </sheetPr>
  <dimension ref="A1:H20"/>
  <sheetViews>
    <sheetView showGridLines="0" view="pageBreakPreview" zoomScaleNormal="100" zoomScaleSheetLayoutView="100" workbookViewId="0">
      <selection activeCell="C11" sqref="C11"/>
    </sheetView>
  </sheetViews>
  <sheetFormatPr defaultColWidth="11" defaultRowHeight="13.2"/>
  <cols>
    <col min="1" max="1" width="16.6640625" style="124" customWidth="1"/>
    <col min="2" max="2" width="16.88671875" style="124" customWidth="1"/>
    <col min="3" max="3" width="16.44140625" style="124" customWidth="1"/>
    <col min="4" max="4" width="18" style="124" customWidth="1"/>
    <col min="5" max="5" width="20.44140625" style="124" customWidth="1"/>
    <col min="6" max="6" width="5.6640625" style="124" customWidth="1"/>
    <col min="7" max="8" width="17.88671875" style="124" customWidth="1"/>
    <col min="9" max="16384" width="11" style="124"/>
  </cols>
  <sheetData>
    <row r="1" spans="1:8">
      <c r="F1" s="301" t="s">
        <v>113</v>
      </c>
    </row>
    <row r="2" spans="1:8">
      <c r="A2" s="763" t="s">
        <v>625</v>
      </c>
      <c r="B2" s="692"/>
      <c r="C2" s="692"/>
      <c r="D2" s="692"/>
      <c r="E2" s="692"/>
      <c r="F2" s="692"/>
    </row>
    <row r="3" spans="1:8">
      <c r="A3" s="763" t="s">
        <v>56</v>
      </c>
      <c r="B3" s="692"/>
      <c r="C3" s="692"/>
      <c r="D3" s="692"/>
      <c r="E3" s="692"/>
      <c r="F3" s="692"/>
    </row>
    <row r="4" spans="1:8">
      <c r="A4" s="763" t="s">
        <v>57</v>
      </c>
      <c r="B4" s="692"/>
      <c r="C4" s="692"/>
      <c r="D4" s="692"/>
      <c r="E4" s="692"/>
      <c r="F4" s="692"/>
    </row>
    <row r="5" spans="1:8">
      <c r="A5" s="764" t="s">
        <v>1175</v>
      </c>
      <c r="B5" s="692"/>
      <c r="C5" s="692"/>
      <c r="D5" s="692"/>
      <c r="E5" s="692"/>
      <c r="F5" s="692"/>
    </row>
    <row r="7" spans="1:8">
      <c r="D7" s="109" t="s">
        <v>109</v>
      </c>
      <c r="E7" s="109" t="s">
        <v>694</v>
      </c>
    </row>
    <row r="8" spans="1:8" ht="15.6">
      <c r="A8" s="125" t="s">
        <v>108</v>
      </c>
      <c r="B8" s="257" t="s">
        <v>529</v>
      </c>
      <c r="C8" s="356" t="s">
        <v>530</v>
      </c>
      <c r="D8" s="356" t="s">
        <v>700</v>
      </c>
      <c r="E8" s="116" t="s">
        <v>695</v>
      </c>
      <c r="F8" s="109"/>
      <c r="G8" s="109"/>
    </row>
    <row r="9" spans="1:8">
      <c r="A9" s="125"/>
      <c r="B9" s="258"/>
      <c r="C9" s="116"/>
      <c r="D9" s="116"/>
      <c r="E9" s="116"/>
      <c r="F9" s="109"/>
      <c r="G9" s="109"/>
    </row>
    <row r="10" spans="1:8">
      <c r="A10" s="28">
        <v>42705</v>
      </c>
      <c r="B10" s="102">
        <v>46028823</v>
      </c>
      <c r="C10" s="102">
        <v>312188897</v>
      </c>
      <c r="D10" s="102">
        <v>0</v>
      </c>
      <c r="E10" s="103">
        <f>+B10+C10+D10</f>
        <v>358217720</v>
      </c>
      <c r="F10" s="126"/>
      <c r="G10" s="127"/>
      <c r="H10" s="128"/>
    </row>
    <row r="11" spans="1:8">
      <c r="A11" s="129" t="s">
        <v>103</v>
      </c>
      <c r="B11" s="104">
        <f>SUM(B10:B10)</f>
        <v>46028823</v>
      </c>
      <c r="C11" s="104">
        <f>SUM(C10:C10)</f>
        <v>312188897</v>
      </c>
      <c r="D11" s="104">
        <f>SUM(D10:D10)</f>
        <v>0</v>
      </c>
      <c r="E11" s="104">
        <f>SUM(E10:E10)</f>
        <v>358217720</v>
      </c>
      <c r="F11" s="128" t="s">
        <v>113</v>
      </c>
      <c r="G11" s="128"/>
      <c r="H11" s="128"/>
    </row>
    <row r="12" spans="1:8">
      <c r="C12" s="128"/>
      <c r="D12" s="128"/>
      <c r="E12" s="128" t="s">
        <v>113</v>
      </c>
    </row>
    <row r="13" spans="1:8">
      <c r="A13" s="109"/>
      <c r="B13" s="109" t="s">
        <v>905</v>
      </c>
      <c r="C13" s="109" t="s">
        <v>906</v>
      </c>
      <c r="D13" s="109" t="s">
        <v>907</v>
      </c>
      <c r="E13" s="109" t="s">
        <v>908</v>
      </c>
      <c r="G13" s="129" t="s">
        <v>113</v>
      </c>
    </row>
    <row r="16" spans="1:8">
      <c r="A16" s="193" t="s">
        <v>279</v>
      </c>
    </row>
    <row r="17" spans="1:5" ht="15.6">
      <c r="A17" s="194" t="s">
        <v>459</v>
      </c>
    </row>
    <row r="19" spans="1:5" ht="14.25" customHeight="1">
      <c r="A19" s="765" t="s">
        <v>748</v>
      </c>
      <c r="B19" s="765"/>
      <c r="C19" s="765"/>
      <c r="D19" s="765"/>
      <c r="E19" s="765"/>
    </row>
    <row r="20" spans="1:5">
      <c r="A20" s="765"/>
      <c r="B20" s="765"/>
      <c r="C20" s="765"/>
      <c r="D20" s="765"/>
      <c r="E20" s="765"/>
    </row>
  </sheetData>
  <mergeCells count="5">
    <mergeCell ref="A2:F2"/>
    <mergeCell ref="A3:F3"/>
    <mergeCell ref="A4:F4"/>
    <mergeCell ref="A5:F5"/>
    <mergeCell ref="A19:E20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92D050"/>
  </sheetPr>
  <dimension ref="A1:H19"/>
  <sheetViews>
    <sheetView showGridLines="0" view="pageBreakPreview" zoomScaleNormal="100" zoomScaleSheetLayoutView="100" workbookViewId="0">
      <selection activeCell="D13" sqref="D13"/>
    </sheetView>
  </sheetViews>
  <sheetFormatPr defaultColWidth="11" defaultRowHeight="13.2"/>
  <cols>
    <col min="1" max="1" width="17.109375" style="111" customWidth="1"/>
    <col min="2" max="2" width="16.88671875" style="111" customWidth="1"/>
    <col min="3" max="3" width="13.6640625" style="111" bestFit="1" customWidth="1"/>
    <col min="4" max="4" width="18.6640625" style="111" customWidth="1"/>
    <col min="5" max="5" width="22" style="111" customWidth="1"/>
    <col min="6" max="8" width="17.88671875" style="111" customWidth="1"/>
    <col min="9" max="16384" width="11" style="111"/>
  </cols>
  <sheetData>
    <row r="1" spans="1:8">
      <c r="F1" s="302" t="s">
        <v>113</v>
      </c>
    </row>
    <row r="2" spans="1:8">
      <c r="A2" s="766" t="s">
        <v>625</v>
      </c>
      <c r="B2" s="692"/>
      <c r="C2" s="692"/>
      <c r="D2" s="692"/>
      <c r="E2" s="692"/>
      <c r="F2" s="302" t="s">
        <v>113</v>
      </c>
    </row>
    <row r="3" spans="1:8">
      <c r="A3" s="763" t="s">
        <v>56</v>
      </c>
      <c r="B3" s="692"/>
      <c r="C3" s="692"/>
      <c r="D3" s="692"/>
      <c r="E3" s="692"/>
    </row>
    <row r="4" spans="1:8">
      <c r="A4" s="81" t="s">
        <v>58</v>
      </c>
      <c r="B4" s="112"/>
      <c r="C4" s="112"/>
      <c r="D4" s="82"/>
      <c r="E4" s="82"/>
    </row>
    <row r="5" spans="1:8">
      <c r="A5" s="113" t="s">
        <v>1175</v>
      </c>
      <c r="B5" s="114"/>
      <c r="C5" s="114"/>
      <c r="D5" s="82"/>
      <c r="E5" s="82"/>
    </row>
    <row r="6" spans="1:8">
      <c r="A6" s="113"/>
      <c r="B6" s="114"/>
      <c r="C6" s="114"/>
      <c r="D6" s="82"/>
      <c r="E6" s="82"/>
    </row>
    <row r="7" spans="1:8">
      <c r="C7" s="259" t="s">
        <v>113</v>
      </c>
    </row>
    <row r="8" spans="1:8">
      <c r="C8" s="259" t="s">
        <v>583</v>
      </c>
      <c r="H8" s="111" t="s">
        <v>113</v>
      </c>
    </row>
    <row r="9" spans="1:8" ht="15.6">
      <c r="A9" s="115" t="s">
        <v>108</v>
      </c>
      <c r="B9" s="116" t="s">
        <v>531</v>
      </c>
      <c r="C9" s="260" t="s">
        <v>599</v>
      </c>
      <c r="D9" s="116" t="s">
        <v>530</v>
      </c>
      <c r="E9" s="117" t="s">
        <v>103</v>
      </c>
      <c r="G9" s="111" t="s">
        <v>113</v>
      </c>
    </row>
    <row r="10" spans="1:8">
      <c r="A10" s="553">
        <v>42705</v>
      </c>
      <c r="B10" s="554">
        <v>239233</v>
      </c>
      <c r="C10" s="554">
        <v>0</v>
      </c>
      <c r="D10" s="554">
        <v>109924668</v>
      </c>
      <c r="E10" s="121">
        <f>SUM(B10:D10)</f>
        <v>110163901</v>
      </c>
      <c r="F10" s="118"/>
      <c r="G10" s="119"/>
      <c r="H10" s="119"/>
    </row>
    <row r="11" spans="1:8">
      <c r="B11" s="122"/>
      <c r="C11" s="122"/>
      <c r="D11" s="122"/>
      <c r="E11" s="122"/>
      <c r="F11" s="122"/>
    </row>
    <row r="12" spans="1:8" ht="15.6">
      <c r="A12" s="115" t="s">
        <v>108</v>
      </c>
      <c r="D12" s="116" t="s">
        <v>692</v>
      </c>
      <c r="E12" s="122"/>
      <c r="F12" s="122" t="s">
        <v>113</v>
      </c>
      <c r="G12" s="120" t="s">
        <v>113</v>
      </c>
    </row>
    <row r="13" spans="1:8">
      <c r="A13" s="553">
        <v>42705</v>
      </c>
      <c r="D13" s="555">
        <v>16425016.447499979</v>
      </c>
    </row>
    <row r="15" spans="1:8" ht="15.6">
      <c r="A15" s="194" t="s">
        <v>459</v>
      </c>
    </row>
    <row r="16" spans="1:8">
      <c r="A16" s="123" t="s">
        <v>909</v>
      </c>
    </row>
    <row r="17" spans="1:1">
      <c r="A17" s="124" t="s">
        <v>113</v>
      </c>
    </row>
    <row r="18" spans="1:1" ht="15.6">
      <c r="A18" s="291" t="s">
        <v>704</v>
      </c>
    </row>
    <row r="19" spans="1:1" ht="15.6">
      <c r="A19" s="195" t="s">
        <v>113</v>
      </c>
    </row>
  </sheetData>
  <mergeCells count="2">
    <mergeCell ref="A2:E2"/>
    <mergeCell ref="A3:E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0.39997558519241921"/>
  </sheetPr>
  <dimension ref="A1:F40"/>
  <sheetViews>
    <sheetView showGridLines="0" view="pageBreakPreview" zoomScale="60" zoomScaleNormal="100" workbookViewId="0">
      <selection activeCell="L9" sqref="L9"/>
    </sheetView>
  </sheetViews>
  <sheetFormatPr defaultColWidth="9.109375" defaultRowHeight="13.2"/>
  <cols>
    <col min="1" max="1" width="28.33203125" style="211" customWidth="1"/>
    <col min="2" max="2" width="27.33203125" style="211" customWidth="1"/>
    <col min="3" max="3" width="22.109375" style="211" customWidth="1"/>
    <col min="4" max="4" width="20" style="211" customWidth="1"/>
    <col min="5" max="5" width="24.5546875" style="211" customWidth="1"/>
    <col min="6" max="6" width="8.6640625" style="211" customWidth="1"/>
    <col min="7" max="16384" width="9.109375" style="211"/>
  </cols>
  <sheetData>
    <row r="1" spans="1:6">
      <c r="A1" s="210" t="s">
        <v>113</v>
      </c>
    </row>
    <row r="2" spans="1:6">
      <c r="A2" s="697" t="s">
        <v>625</v>
      </c>
      <c r="B2" s="697"/>
      <c r="C2" s="697"/>
      <c r="D2" s="697"/>
      <c r="E2" s="697"/>
    </row>
    <row r="3" spans="1:6">
      <c r="A3" s="696" t="s">
        <v>605</v>
      </c>
      <c r="B3" s="696"/>
      <c r="C3" s="696"/>
      <c r="D3" s="696"/>
      <c r="E3" s="696"/>
      <c r="F3" s="391"/>
    </row>
    <row r="4" spans="1:6">
      <c r="A4" s="698" t="s">
        <v>696</v>
      </c>
      <c r="B4" s="698"/>
      <c r="C4" s="698"/>
      <c r="D4" s="698"/>
      <c r="E4" s="698"/>
    </row>
    <row r="5" spans="1:6">
      <c r="A5" s="390" t="s">
        <v>113</v>
      </c>
      <c r="B5" s="390"/>
      <c r="C5" s="390"/>
      <c r="D5" s="390"/>
      <c r="E5" s="390"/>
    </row>
    <row r="6" spans="1:6" ht="13.5" customHeight="1"/>
    <row r="7" spans="1:6" ht="15.75" customHeight="1"/>
    <row r="8" spans="1:6">
      <c r="A8"/>
      <c r="B8"/>
      <c r="C8"/>
      <c r="D8"/>
      <c r="E8"/>
    </row>
    <row r="9" spans="1:6">
      <c r="C9"/>
      <c r="D9"/>
      <c r="E9"/>
    </row>
    <row r="10" spans="1:6" customFormat="1">
      <c r="A10" s="692" t="s">
        <v>619</v>
      </c>
      <c r="B10" s="692"/>
      <c r="C10" s="692"/>
      <c r="D10" s="692"/>
      <c r="E10" s="692"/>
    </row>
    <row r="11" spans="1:6" customFormat="1"/>
    <row r="12" spans="1:6" customFormat="1"/>
    <row r="13" spans="1:6" customFormat="1"/>
    <row r="14" spans="1:6" customFormat="1"/>
    <row r="15" spans="1:6" customFormat="1"/>
    <row r="16" spans="1:6" customForma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spans="1:5" customFormat="1"/>
    <row r="34" spans="1:5" customFormat="1"/>
    <row r="35" spans="1:5" customFormat="1"/>
    <row r="36" spans="1:5" customFormat="1"/>
    <row r="37" spans="1:5" customFormat="1"/>
    <row r="38" spans="1:5" customFormat="1"/>
    <row r="39" spans="1:5" customFormat="1"/>
    <row r="40" spans="1:5">
      <c r="A40"/>
      <c r="B40"/>
      <c r="C40"/>
      <c r="D40"/>
      <c r="E40"/>
    </row>
  </sheetData>
  <mergeCells count="4">
    <mergeCell ref="A10:E10"/>
    <mergeCell ref="A2:E2"/>
    <mergeCell ref="A3:E3"/>
    <mergeCell ref="A4:E4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92D050"/>
  </sheetPr>
  <dimension ref="A2:J32"/>
  <sheetViews>
    <sheetView showGridLines="0" view="pageBreakPreview" topLeftCell="D1" zoomScale="60" zoomScaleNormal="100" workbookViewId="0">
      <selection activeCell="F33" sqref="F33"/>
    </sheetView>
  </sheetViews>
  <sheetFormatPr defaultColWidth="9.109375" defaultRowHeight="13.2"/>
  <cols>
    <col min="1" max="1" width="25" style="1" customWidth="1"/>
    <col min="2" max="2" width="33.33203125" style="1" customWidth="1"/>
    <col min="3" max="3" width="61" style="1" bestFit="1" customWidth="1"/>
    <col min="4" max="4" width="22.6640625" style="1" customWidth="1"/>
    <col min="5" max="5" width="28.88671875" style="1" customWidth="1"/>
    <col min="6" max="6" width="7.33203125" style="1" customWidth="1"/>
    <col min="7" max="7" width="7.6640625" style="1" bestFit="1" customWidth="1"/>
    <col min="8" max="8" width="23.109375" style="1" customWidth="1"/>
    <col min="9" max="9" width="25.33203125" style="1" customWidth="1"/>
    <col min="10" max="10" width="25.5546875" style="1" customWidth="1"/>
    <col min="11" max="16384" width="9.109375" style="1"/>
  </cols>
  <sheetData>
    <row r="2" spans="1:10">
      <c r="B2" s="691" t="s">
        <v>625</v>
      </c>
      <c r="C2" s="692"/>
      <c r="D2" s="692"/>
      <c r="E2" s="692"/>
      <c r="F2" s="692"/>
      <c r="G2" s="692"/>
      <c r="H2" s="692"/>
      <c r="I2" s="692"/>
      <c r="J2" s="692"/>
    </row>
    <row r="3" spans="1:10">
      <c r="A3" s="87" t="s">
        <v>113</v>
      </c>
      <c r="B3" s="691" t="s">
        <v>605</v>
      </c>
      <c r="C3" s="691"/>
      <c r="D3" s="691"/>
      <c r="E3" s="691"/>
      <c r="F3" s="691"/>
      <c r="G3" s="691"/>
      <c r="H3" s="691"/>
      <c r="I3" s="691"/>
      <c r="J3" s="691"/>
    </row>
    <row r="4" spans="1:10">
      <c r="A4" s="87" t="s">
        <v>113</v>
      </c>
      <c r="B4" s="691" t="s">
        <v>59</v>
      </c>
      <c r="C4" s="691"/>
      <c r="D4" s="691"/>
      <c r="E4" s="691"/>
      <c r="F4" s="691"/>
      <c r="G4" s="691"/>
      <c r="H4" s="691"/>
      <c r="I4" s="691"/>
      <c r="J4" s="691"/>
    </row>
    <row r="5" spans="1:10">
      <c r="B5" s="691" t="s">
        <v>1175</v>
      </c>
      <c r="C5" s="691"/>
      <c r="D5" s="691"/>
      <c r="E5" s="691"/>
      <c r="F5" s="691"/>
      <c r="G5" s="691"/>
      <c r="H5" s="691"/>
      <c r="I5" s="691"/>
      <c r="J5" s="691"/>
    </row>
    <row r="6" spans="1:10">
      <c r="A6"/>
      <c r="B6"/>
      <c r="C6"/>
      <c r="D6"/>
      <c r="E6" s="767" t="s">
        <v>113</v>
      </c>
      <c r="F6" s="767"/>
      <c r="G6" s="767"/>
    </row>
    <row r="8" spans="1:10">
      <c r="A8"/>
      <c r="B8"/>
      <c r="C8"/>
      <c r="D8" s="395"/>
      <c r="E8"/>
      <c r="F8" s="395"/>
      <c r="G8"/>
      <c r="H8" s="406"/>
      <c r="I8" s="406"/>
      <c r="J8" s="406"/>
    </row>
    <row r="9" spans="1:10">
      <c r="A9" s="556" t="s">
        <v>512</v>
      </c>
      <c r="B9" s="556" t="s">
        <v>989</v>
      </c>
      <c r="C9" s="556" t="s">
        <v>514</v>
      </c>
      <c r="D9" s="556" t="s">
        <v>513</v>
      </c>
      <c r="E9" s="556" t="s">
        <v>990</v>
      </c>
      <c r="F9" s="556" t="s">
        <v>584</v>
      </c>
      <c r="G9" s="556" t="s">
        <v>585</v>
      </c>
      <c r="H9" s="557" t="s">
        <v>515</v>
      </c>
      <c r="I9" s="557" t="s">
        <v>516</v>
      </c>
      <c r="J9" s="557" t="s">
        <v>517</v>
      </c>
    </row>
    <row r="10" spans="1:10">
      <c r="A10" t="s">
        <v>666</v>
      </c>
      <c r="B10" t="s">
        <v>673</v>
      </c>
      <c r="C10" t="s">
        <v>674</v>
      </c>
      <c r="D10" t="s">
        <v>587</v>
      </c>
      <c r="E10" t="s">
        <v>981</v>
      </c>
      <c r="F10" t="s">
        <v>669</v>
      </c>
      <c r="G10" t="s">
        <v>1209</v>
      </c>
      <c r="H10" s="599">
        <v>132441</v>
      </c>
      <c r="I10" s="599">
        <v>101791.32</v>
      </c>
      <c r="J10" s="599">
        <v>30649.68</v>
      </c>
    </row>
    <row r="11" spans="1:10">
      <c r="A11" t="s">
        <v>666</v>
      </c>
      <c r="B11" t="s">
        <v>1102</v>
      </c>
      <c r="C11" t="s">
        <v>1103</v>
      </c>
      <c r="D11" t="s">
        <v>587</v>
      </c>
      <c r="E11" t="s">
        <v>981</v>
      </c>
      <c r="F11" t="s">
        <v>670</v>
      </c>
      <c r="G11" t="s">
        <v>1209</v>
      </c>
      <c r="H11" s="599">
        <v>5398124.1799999997</v>
      </c>
      <c r="I11" s="599">
        <v>1384753.54</v>
      </c>
      <c r="J11" s="599">
        <v>4013370.64</v>
      </c>
    </row>
    <row r="12" spans="1:10">
      <c r="A12" t="s">
        <v>666</v>
      </c>
      <c r="B12" t="s">
        <v>680</v>
      </c>
      <c r="C12" t="s">
        <v>681</v>
      </c>
      <c r="D12" t="s">
        <v>587</v>
      </c>
      <c r="E12" t="s">
        <v>981</v>
      </c>
      <c r="F12" t="s">
        <v>669</v>
      </c>
      <c r="G12" t="s">
        <v>1209</v>
      </c>
      <c r="H12" s="599">
        <v>673990</v>
      </c>
      <c r="I12" s="599">
        <v>333304.27</v>
      </c>
      <c r="J12" s="599">
        <v>340685.73</v>
      </c>
    </row>
    <row r="13" spans="1:10">
      <c r="A13" t="s">
        <v>666</v>
      </c>
      <c r="B13" t="s">
        <v>680</v>
      </c>
      <c r="C13" t="s">
        <v>682</v>
      </c>
      <c r="D13" t="s">
        <v>586</v>
      </c>
      <c r="E13" t="s">
        <v>982</v>
      </c>
      <c r="F13" t="s">
        <v>669</v>
      </c>
      <c r="G13" t="s">
        <v>1209</v>
      </c>
      <c r="H13" s="599">
        <v>46746</v>
      </c>
      <c r="I13" s="599">
        <v>25226.73</v>
      </c>
      <c r="J13" s="599">
        <v>21519.27</v>
      </c>
    </row>
    <row r="14" spans="1:10">
      <c r="A14" t="s">
        <v>666</v>
      </c>
      <c r="B14" t="s">
        <v>667</v>
      </c>
      <c r="C14" t="s">
        <v>668</v>
      </c>
      <c r="D14" t="s">
        <v>587</v>
      </c>
      <c r="E14" t="s">
        <v>981</v>
      </c>
      <c r="F14" t="s">
        <v>669</v>
      </c>
      <c r="G14" t="s">
        <v>1209</v>
      </c>
      <c r="H14" s="599">
        <v>539626.53</v>
      </c>
      <c r="I14" s="599">
        <v>391242.71</v>
      </c>
      <c r="J14" s="599">
        <v>148383.82</v>
      </c>
    </row>
    <row r="15" spans="1:10">
      <c r="A15" t="s">
        <v>666</v>
      </c>
      <c r="B15" t="s">
        <v>948</v>
      </c>
      <c r="C15" t="s">
        <v>949</v>
      </c>
      <c r="D15" t="s">
        <v>587</v>
      </c>
      <c r="E15" t="s">
        <v>983</v>
      </c>
      <c r="F15" t="s">
        <v>950</v>
      </c>
      <c r="G15" t="s">
        <v>1209</v>
      </c>
      <c r="H15" s="599">
        <v>17759482.75</v>
      </c>
      <c r="I15" s="599">
        <v>1678148.73</v>
      </c>
      <c r="J15" s="599">
        <v>16081334.02</v>
      </c>
    </row>
    <row r="16" spans="1:10">
      <c r="A16" t="s">
        <v>666</v>
      </c>
      <c r="B16" t="s">
        <v>948</v>
      </c>
      <c r="C16" t="s">
        <v>951</v>
      </c>
      <c r="D16" t="s">
        <v>587</v>
      </c>
      <c r="E16" t="s">
        <v>984</v>
      </c>
      <c r="F16" t="s">
        <v>950</v>
      </c>
      <c r="G16" t="s">
        <v>1209</v>
      </c>
      <c r="H16" s="599">
        <v>1628160.99</v>
      </c>
      <c r="I16" s="599">
        <v>404213.65</v>
      </c>
      <c r="J16" s="599">
        <v>1223947.3400000001</v>
      </c>
    </row>
    <row r="17" spans="1:10">
      <c r="A17" t="s">
        <v>666</v>
      </c>
      <c r="B17" t="s">
        <v>985</v>
      </c>
      <c r="C17" t="s">
        <v>986</v>
      </c>
      <c r="D17" t="s">
        <v>587</v>
      </c>
      <c r="E17" t="s">
        <v>981</v>
      </c>
      <c r="F17" t="s">
        <v>670</v>
      </c>
      <c r="G17" t="s">
        <v>1209</v>
      </c>
      <c r="H17" s="599">
        <v>1166092.2</v>
      </c>
      <c r="I17" s="599">
        <v>707143.67</v>
      </c>
      <c r="J17" s="599">
        <v>458948.53</v>
      </c>
    </row>
    <row r="18" spans="1:10">
      <c r="A18" t="s">
        <v>666</v>
      </c>
      <c r="B18" t="s">
        <v>985</v>
      </c>
      <c r="C18" t="s">
        <v>952</v>
      </c>
      <c r="D18" t="s">
        <v>586</v>
      </c>
      <c r="E18" t="s">
        <v>982</v>
      </c>
      <c r="F18" t="s">
        <v>670</v>
      </c>
      <c r="G18" t="s">
        <v>1209</v>
      </c>
      <c r="H18" s="599">
        <v>24415.85</v>
      </c>
      <c r="I18" s="599">
        <v>9346.7000000000007</v>
      </c>
      <c r="J18" s="599">
        <v>15069.15</v>
      </c>
    </row>
    <row r="19" spans="1:10">
      <c r="A19" t="s">
        <v>666</v>
      </c>
      <c r="B19" t="s">
        <v>985</v>
      </c>
      <c r="C19" t="s">
        <v>952</v>
      </c>
      <c r="D19" t="s">
        <v>587</v>
      </c>
      <c r="E19" t="s">
        <v>981</v>
      </c>
      <c r="F19" t="s">
        <v>670</v>
      </c>
      <c r="G19" t="s">
        <v>1209</v>
      </c>
      <c r="H19" s="599">
        <v>13812323.289999999</v>
      </c>
      <c r="I19" s="599">
        <v>6756659.5599999996</v>
      </c>
      <c r="J19" s="599">
        <v>7055663.7300000004</v>
      </c>
    </row>
    <row r="20" spans="1:10">
      <c r="A20" t="s">
        <v>666</v>
      </c>
      <c r="B20" t="s">
        <v>985</v>
      </c>
      <c r="C20" t="s">
        <v>953</v>
      </c>
      <c r="D20" t="s">
        <v>586</v>
      </c>
      <c r="E20" t="s">
        <v>982</v>
      </c>
      <c r="F20" t="s">
        <v>670</v>
      </c>
      <c r="G20" t="s">
        <v>1209</v>
      </c>
      <c r="H20" s="599">
        <v>61600</v>
      </c>
      <c r="I20" s="599">
        <v>33570.53</v>
      </c>
      <c r="J20" s="599">
        <v>28029.47</v>
      </c>
    </row>
    <row r="21" spans="1:10">
      <c r="A21" t="s">
        <v>666</v>
      </c>
      <c r="B21" t="s">
        <v>985</v>
      </c>
      <c r="C21" t="s">
        <v>953</v>
      </c>
      <c r="D21" t="s">
        <v>587</v>
      </c>
      <c r="E21" t="s">
        <v>981</v>
      </c>
      <c r="F21" t="s">
        <v>670</v>
      </c>
      <c r="G21" t="s">
        <v>1209</v>
      </c>
      <c r="H21" s="599">
        <v>15908171.34</v>
      </c>
      <c r="I21" s="599">
        <v>5175541.25</v>
      </c>
      <c r="J21" s="599">
        <v>10732630.09</v>
      </c>
    </row>
    <row r="22" spans="1:10">
      <c r="A22" t="s">
        <v>666</v>
      </c>
      <c r="B22" t="s">
        <v>680</v>
      </c>
      <c r="C22" t="s">
        <v>683</v>
      </c>
      <c r="D22" t="s">
        <v>587</v>
      </c>
      <c r="E22" t="s">
        <v>981</v>
      </c>
      <c r="F22" t="s">
        <v>669</v>
      </c>
      <c r="G22" t="s">
        <v>1209</v>
      </c>
      <c r="H22" s="599">
        <v>193579.48</v>
      </c>
      <c r="I22" s="599">
        <v>155551.70000000001</v>
      </c>
      <c r="J22" s="599">
        <v>38027.78</v>
      </c>
    </row>
    <row r="23" spans="1:10">
      <c r="A23" t="s">
        <v>666</v>
      </c>
      <c r="B23" t="s">
        <v>676</v>
      </c>
      <c r="C23" t="s">
        <v>677</v>
      </c>
      <c r="D23" t="s">
        <v>587</v>
      </c>
      <c r="E23" t="s">
        <v>981</v>
      </c>
      <c r="F23" t="s">
        <v>670</v>
      </c>
      <c r="G23" t="s">
        <v>1209</v>
      </c>
      <c r="H23" s="599">
        <v>366061</v>
      </c>
      <c r="I23" s="599">
        <v>224428.55</v>
      </c>
      <c r="J23" s="599">
        <v>141632.45000000001</v>
      </c>
    </row>
    <row r="24" spans="1:10">
      <c r="A24" t="s">
        <v>666</v>
      </c>
      <c r="B24" t="s">
        <v>676</v>
      </c>
      <c r="C24" t="s">
        <v>678</v>
      </c>
      <c r="D24" t="s">
        <v>587</v>
      </c>
      <c r="E24" t="s">
        <v>981</v>
      </c>
      <c r="F24" t="s">
        <v>670</v>
      </c>
      <c r="G24" t="s">
        <v>1209</v>
      </c>
      <c r="H24" s="599">
        <v>25751</v>
      </c>
      <c r="I24" s="599">
        <v>20917.57</v>
      </c>
      <c r="J24" s="599">
        <v>4833.43</v>
      </c>
    </row>
    <row r="25" spans="1:10">
      <c r="A25" t="s">
        <v>666</v>
      </c>
      <c r="B25" t="s">
        <v>1104</v>
      </c>
      <c r="C25" t="s">
        <v>1105</v>
      </c>
      <c r="D25" t="s">
        <v>586</v>
      </c>
      <c r="E25" t="s">
        <v>982</v>
      </c>
      <c r="F25" t="s">
        <v>670</v>
      </c>
      <c r="G25" t="s">
        <v>1209</v>
      </c>
      <c r="H25" s="599">
        <v>84966.37</v>
      </c>
      <c r="I25" s="599">
        <v>37013.050000000003</v>
      </c>
      <c r="J25" s="599">
        <v>47953.32</v>
      </c>
    </row>
    <row r="26" spans="1:10">
      <c r="A26" t="s">
        <v>666</v>
      </c>
      <c r="B26" t="s">
        <v>1104</v>
      </c>
      <c r="C26" t="s">
        <v>1105</v>
      </c>
      <c r="D26" t="s">
        <v>587</v>
      </c>
      <c r="E26" t="s">
        <v>981</v>
      </c>
      <c r="F26" t="s">
        <v>670</v>
      </c>
      <c r="G26" t="s">
        <v>1209</v>
      </c>
      <c r="H26" s="599">
        <v>4760826.78</v>
      </c>
      <c r="I26" s="599">
        <v>2349379</v>
      </c>
      <c r="J26" s="599">
        <v>2411447.7799999998</v>
      </c>
    </row>
    <row r="27" spans="1:10">
      <c r="A27" t="s">
        <v>666</v>
      </c>
      <c r="B27" t="s">
        <v>671</v>
      </c>
      <c r="C27" t="s">
        <v>672</v>
      </c>
      <c r="D27" t="s">
        <v>586</v>
      </c>
      <c r="E27" t="s">
        <v>982</v>
      </c>
      <c r="F27" t="s">
        <v>669</v>
      </c>
      <c r="G27" t="s">
        <v>1209</v>
      </c>
      <c r="H27" s="599">
        <v>1579</v>
      </c>
      <c r="I27" s="599">
        <v>735.94</v>
      </c>
      <c r="J27" s="599">
        <v>843.06</v>
      </c>
    </row>
    <row r="28" spans="1:10">
      <c r="A28" t="s">
        <v>666</v>
      </c>
      <c r="B28" t="s">
        <v>671</v>
      </c>
      <c r="C28" t="s">
        <v>672</v>
      </c>
      <c r="D28" t="s">
        <v>587</v>
      </c>
      <c r="E28" t="s">
        <v>981</v>
      </c>
      <c r="F28" t="s">
        <v>669</v>
      </c>
      <c r="G28" t="s">
        <v>1209</v>
      </c>
      <c r="H28" s="599">
        <v>374454.12</v>
      </c>
      <c r="I28" s="599">
        <v>75041.5</v>
      </c>
      <c r="J28" s="599">
        <v>299412.62</v>
      </c>
    </row>
    <row r="29" spans="1:10">
      <c r="A29" t="s">
        <v>666</v>
      </c>
      <c r="B29" t="s">
        <v>673</v>
      </c>
      <c r="C29" t="s">
        <v>675</v>
      </c>
      <c r="D29" t="s">
        <v>587</v>
      </c>
      <c r="E29" t="s">
        <v>981</v>
      </c>
      <c r="F29" t="s">
        <v>669</v>
      </c>
      <c r="G29" t="s">
        <v>1209</v>
      </c>
      <c r="H29" s="599">
        <v>58521</v>
      </c>
      <c r="I29" s="599">
        <v>47536.68</v>
      </c>
      <c r="J29" s="599">
        <v>10984.32</v>
      </c>
    </row>
    <row r="30" spans="1:10">
      <c r="A30" t="s">
        <v>666</v>
      </c>
      <c r="B30" t="s">
        <v>987</v>
      </c>
      <c r="C30" t="s">
        <v>988</v>
      </c>
      <c r="D30" t="s">
        <v>587</v>
      </c>
      <c r="E30" t="s">
        <v>981</v>
      </c>
      <c r="F30" t="s">
        <v>669</v>
      </c>
      <c r="G30" t="s">
        <v>1209</v>
      </c>
      <c r="H30" s="599">
        <v>1732070.54</v>
      </c>
      <c r="I30" s="599">
        <v>865744.86</v>
      </c>
      <c r="J30" s="599">
        <v>866325.68</v>
      </c>
    </row>
    <row r="31" spans="1:10">
      <c r="A31" t="s">
        <v>666</v>
      </c>
      <c r="B31" t="s">
        <v>676</v>
      </c>
      <c r="C31" t="s">
        <v>679</v>
      </c>
      <c r="D31" t="s">
        <v>587</v>
      </c>
      <c r="E31" t="s">
        <v>981</v>
      </c>
      <c r="F31" t="s">
        <v>670</v>
      </c>
      <c r="G31" t="s">
        <v>1209</v>
      </c>
      <c r="H31" s="599">
        <v>1959926.26</v>
      </c>
      <c r="I31" s="599">
        <v>451822.9</v>
      </c>
      <c r="J31" s="599">
        <v>1508103.36</v>
      </c>
    </row>
    <row r="32" spans="1:10">
      <c r="A32" s="478" t="s">
        <v>684</v>
      </c>
      <c r="B32" s="478"/>
      <c r="C32" s="478"/>
      <c r="D32" s="478"/>
      <c r="E32" s="478"/>
      <c r="F32" s="478"/>
      <c r="G32" s="478"/>
      <c r="H32" s="600">
        <f>SUBTOTAL(9,H10:H31)</f>
        <v>66708909.679999985</v>
      </c>
      <c r="I32" s="600">
        <f>SUBTOTAL(9,I10:I31)</f>
        <v>21229114.409999996</v>
      </c>
      <c r="J32" s="600">
        <f>SUBTOTAL(9,J10:J31)</f>
        <v>45479795.270000003</v>
      </c>
    </row>
  </sheetData>
  <mergeCells count="5">
    <mergeCell ref="E6:G6"/>
    <mergeCell ref="B2:J2"/>
    <mergeCell ref="B3:J3"/>
    <mergeCell ref="B4:J4"/>
    <mergeCell ref="B5:J5"/>
  </mergeCells>
  <phoneticPr fontId="2" type="noConversion"/>
  <pageMargins left="0.5" right="0.5" top="0.5" bottom="0.5" header="0.5" footer="0.25"/>
  <pageSetup scale="35" orientation="portrait" r:id="rId1"/>
  <headerFooter alignWithMargins="0">
    <oddFooter>&amp;C&amp;A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4"/>
  <sheetViews>
    <sheetView view="pageBreakPreview" zoomScale="60" zoomScaleNormal="100" workbookViewId="0">
      <selection activeCell="L12" sqref="L12"/>
    </sheetView>
  </sheetViews>
  <sheetFormatPr defaultRowHeight="13.2"/>
  <cols>
    <col min="2" max="2" width="26" customWidth="1"/>
    <col min="3" max="3" width="8.88671875" customWidth="1"/>
    <col min="4" max="4" width="26.5546875" customWidth="1"/>
    <col min="5" max="5" width="15.6640625" customWidth="1"/>
    <col min="6" max="6" width="18.109375" customWidth="1"/>
    <col min="7" max="7" width="15.88671875" customWidth="1"/>
    <col min="8" max="8" width="14" customWidth="1"/>
    <col min="9" max="9" width="17.5546875" customWidth="1"/>
    <col min="10" max="10" width="21.5546875" customWidth="1"/>
    <col min="11" max="11" width="10.88671875" customWidth="1"/>
    <col min="12" max="12" width="11.5546875" customWidth="1"/>
  </cols>
  <sheetData>
    <row r="1" spans="1:14">
      <c r="L1" s="297" t="s">
        <v>113</v>
      </c>
    </row>
    <row r="2" spans="1:14"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303" t="s">
        <v>113</v>
      </c>
      <c r="M2" s="261"/>
      <c r="N2" s="1"/>
    </row>
    <row r="3" spans="1:14">
      <c r="A3" s="768" t="s">
        <v>625</v>
      </c>
      <c r="B3" s="692"/>
      <c r="C3" s="692"/>
      <c r="D3" s="692"/>
      <c r="E3" s="692"/>
      <c r="F3" s="692"/>
      <c r="G3" s="692"/>
      <c r="H3" s="692"/>
      <c r="I3" s="692"/>
      <c r="J3" s="692"/>
      <c r="K3" s="692"/>
      <c r="L3" s="692"/>
      <c r="M3" s="307"/>
      <c r="N3" s="1"/>
    </row>
    <row r="4" spans="1:14">
      <c r="A4" s="700" t="s">
        <v>621</v>
      </c>
      <c r="B4" s="692"/>
      <c r="C4" s="692"/>
      <c r="D4" s="692"/>
      <c r="E4" s="692"/>
      <c r="F4" s="692"/>
      <c r="G4" s="692"/>
      <c r="H4" s="692"/>
      <c r="I4" s="692"/>
      <c r="J4" s="692"/>
      <c r="K4" s="692"/>
      <c r="L4" s="692"/>
      <c r="M4" s="241"/>
      <c r="N4" s="241"/>
    </row>
    <row r="5" spans="1:14">
      <c r="A5" s="700" t="s">
        <v>605</v>
      </c>
      <c r="B5" s="692"/>
      <c r="C5" s="692"/>
      <c r="D5" s="692"/>
      <c r="E5" s="692"/>
      <c r="F5" s="692"/>
      <c r="G5" s="692"/>
      <c r="H5" s="692"/>
      <c r="I5" s="692"/>
      <c r="J5" s="692"/>
      <c r="K5" s="692"/>
      <c r="L5" s="692"/>
      <c r="M5" s="306"/>
      <c r="N5" s="1"/>
    </row>
    <row r="6" spans="1:14">
      <c r="A6" s="768" t="s">
        <v>1210</v>
      </c>
      <c r="B6" s="692"/>
      <c r="C6" s="692"/>
      <c r="D6" s="692"/>
      <c r="E6" s="692"/>
      <c r="F6" s="692"/>
      <c r="G6" s="692"/>
      <c r="H6" s="692"/>
      <c r="I6" s="692"/>
      <c r="J6" s="692"/>
      <c r="K6" s="692"/>
      <c r="L6" s="692"/>
      <c r="M6" s="306"/>
      <c r="N6" s="1"/>
    </row>
    <row r="7" spans="1:14">
      <c r="A7" s="428"/>
      <c r="B7" s="426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306"/>
      <c r="N7" s="427"/>
    </row>
    <row r="8" spans="1:14">
      <c r="A8" s="306" t="s">
        <v>434</v>
      </c>
      <c r="B8" s="306" t="s">
        <v>132</v>
      </c>
      <c r="C8" s="306" t="s">
        <v>435</v>
      </c>
      <c r="D8" s="306" t="s">
        <v>436</v>
      </c>
      <c r="E8" s="311" t="s">
        <v>133</v>
      </c>
      <c r="F8" s="311" t="s">
        <v>437</v>
      </c>
      <c r="G8" s="311" t="s">
        <v>438</v>
      </c>
      <c r="H8" s="311" t="s">
        <v>532</v>
      </c>
      <c r="I8" s="311" t="s">
        <v>439</v>
      </c>
      <c r="J8" s="306" t="s">
        <v>134</v>
      </c>
      <c r="K8" s="306" t="s">
        <v>135</v>
      </c>
      <c r="L8" s="306" t="s">
        <v>440</v>
      </c>
      <c r="M8" s="306"/>
      <c r="N8" s="1"/>
    </row>
    <row r="9" spans="1:14">
      <c r="A9" s="306"/>
      <c r="B9" s="306"/>
      <c r="C9" s="306"/>
      <c r="D9" s="306"/>
      <c r="E9" s="311"/>
      <c r="F9" s="311"/>
      <c r="G9" s="311"/>
      <c r="H9" s="311"/>
      <c r="I9" s="311"/>
      <c r="J9" s="306"/>
      <c r="K9" s="306"/>
      <c r="L9" s="306"/>
      <c r="M9" s="306"/>
      <c r="N9" s="1"/>
    </row>
    <row r="10" spans="1:14">
      <c r="A10" s="306"/>
      <c r="B10" s="306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1"/>
    </row>
    <row r="11" spans="1:14">
      <c r="A11" s="306" t="s">
        <v>441</v>
      </c>
      <c r="B11" s="306" t="s">
        <v>443</v>
      </c>
      <c r="C11" s="306">
        <v>6</v>
      </c>
      <c r="D11" s="306" t="s">
        <v>442</v>
      </c>
      <c r="E11" s="558">
        <v>1013834214</v>
      </c>
      <c r="F11" s="558">
        <v>222141568</v>
      </c>
      <c r="G11" s="558">
        <v>10591385</v>
      </c>
      <c r="H11" s="558">
        <v>0</v>
      </c>
      <c r="I11" s="558">
        <v>5106112</v>
      </c>
      <c r="J11" s="558">
        <f>+E11+F11-G11+H11+I11</f>
        <v>1230490509</v>
      </c>
      <c r="K11" s="559">
        <v>42370</v>
      </c>
      <c r="L11" s="559">
        <v>42735</v>
      </c>
      <c r="M11" s="306"/>
      <c r="N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93" t="s">
        <v>279</v>
      </c>
    </row>
    <row r="14" spans="1:14" ht="15">
      <c r="A14" s="313" t="s">
        <v>44</v>
      </c>
    </row>
  </sheetData>
  <mergeCells count="4">
    <mergeCell ref="A3:L3"/>
    <mergeCell ref="A4:L4"/>
    <mergeCell ref="A5:L5"/>
    <mergeCell ref="A6:L6"/>
  </mergeCells>
  <phoneticPr fontId="2" type="noConversion"/>
  <pageMargins left="0.5" right="0.5" top="0.5" bottom="0.5" header="0.5" footer="0.25"/>
  <pageSetup scale="46" orientation="portrait" r:id="rId1"/>
  <headerFooter alignWithMargins="0">
    <oddFooter>&amp;C&amp;A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0"/>
  <sheetViews>
    <sheetView view="pageBreakPreview" zoomScale="60" zoomScaleNormal="100" workbookViewId="0">
      <selection activeCell="C22" sqref="C22"/>
    </sheetView>
  </sheetViews>
  <sheetFormatPr defaultRowHeight="13.2"/>
  <cols>
    <col min="2" max="2" width="27" customWidth="1"/>
    <col min="3" max="3" width="18.6640625" customWidth="1"/>
  </cols>
  <sheetData>
    <row r="1" spans="1:15">
      <c r="B1" s="24"/>
      <c r="C1" s="24"/>
      <c r="D1" s="24"/>
      <c r="E1" s="24"/>
      <c r="F1" s="24"/>
      <c r="G1" s="24"/>
      <c r="H1" s="300" t="s">
        <v>113</v>
      </c>
      <c r="I1" s="24"/>
      <c r="J1" s="24"/>
      <c r="K1" s="24"/>
      <c r="L1" s="24"/>
      <c r="M1" s="24"/>
      <c r="N1" s="24"/>
      <c r="O1" s="24"/>
    </row>
    <row r="2" spans="1:15">
      <c r="A2" s="696" t="s">
        <v>625</v>
      </c>
      <c r="B2" s="696"/>
      <c r="C2" s="696"/>
      <c r="D2" s="696"/>
      <c r="E2" s="696"/>
      <c r="F2" s="696"/>
      <c r="G2" s="696"/>
      <c r="H2" s="300" t="s">
        <v>113</v>
      </c>
      <c r="I2" s="24"/>
      <c r="J2" s="24"/>
      <c r="K2" s="24"/>
      <c r="L2" s="24"/>
      <c r="M2" s="24"/>
      <c r="N2" s="24"/>
      <c r="O2" s="24"/>
    </row>
    <row r="3" spans="1:15">
      <c r="A3" s="696" t="s">
        <v>605</v>
      </c>
      <c r="B3" s="696"/>
      <c r="C3" s="696"/>
      <c r="D3" s="696"/>
      <c r="E3" s="696"/>
      <c r="F3" s="696"/>
      <c r="G3" s="696"/>
      <c r="H3" s="24"/>
      <c r="I3" s="24"/>
      <c r="J3" s="24"/>
      <c r="K3" s="24"/>
      <c r="L3" s="24"/>
      <c r="M3" s="24"/>
      <c r="N3" s="24"/>
      <c r="O3" s="24"/>
    </row>
    <row r="4" spans="1:15">
      <c r="A4" s="696" t="s">
        <v>60</v>
      </c>
      <c r="B4" s="696"/>
      <c r="C4" s="696"/>
      <c r="D4" s="696"/>
      <c r="E4" s="696"/>
      <c r="F4" s="696"/>
      <c r="G4" s="696"/>
      <c r="H4" s="24"/>
      <c r="I4" s="24"/>
      <c r="J4" s="24"/>
      <c r="K4" s="24"/>
      <c r="L4" s="24"/>
      <c r="M4" s="24"/>
      <c r="N4" s="24"/>
      <c r="O4" s="24"/>
    </row>
    <row r="5" spans="1:15">
      <c r="A5" s="769" t="s">
        <v>1176</v>
      </c>
      <c r="B5" s="694"/>
      <c r="C5" s="694"/>
      <c r="D5" s="694"/>
      <c r="E5" s="694"/>
      <c r="F5" s="694"/>
      <c r="G5" s="694"/>
      <c r="H5" s="109"/>
      <c r="I5" s="109"/>
      <c r="J5" s="109"/>
      <c r="K5" s="109"/>
      <c r="L5" s="109"/>
      <c r="M5" s="109"/>
      <c r="N5" s="109"/>
      <c r="O5" s="109"/>
    </row>
    <row r="6" spans="1:15">
      <c r="A6" s="696" t="s">
        <v>113</v>
      </c>
      <c r="B6" s="696"/>
      <c r="C6" s="696"/>
      <c r="D6" s="696"/>
      <c r="E6" s="696"/>
      <c r="F6" s="696"/>
      <c r="G6" s="696"/>
      <c r="H6" s="696"/>
      <c r="I6" s="696"/>
      <c r="J6" s="696"/>
      <c r="K6" s="696"/>
      <c r="L6" s="696"/>
      <c r="M6" s="696"/>
      <c r="N6" s="696"/>
      <c r="O6" s="696"/>
    </row>
    <row r="7" spans="1:15">
      <c r="A7" s="26"/>
      <c r="B7" s="26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>
      <c r="A8" s="24"/>
      <c r="B8" s="26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>
      <c r="A9" s="24"/>
      <c r="B9" s="24"/>
    </row>
    <row r="10" spans="1:15" ht="15.6">
      <c r="A10" s="23" t="s">
        <v>113</v>
      </c>
      <c r="B10" s="23"/>
      <c r="C10" s="23"/>
      <c r="D10" s="25"/>
      <c r="E10" s="380" t="s">
        <v>914</v>
      </c>
      <c r="F10" s="1"/>
      <c r="G10" s="1"/>
      <c r="H10" s="25"/>
      <c r="I10" s="25"/>
      <c r="J10" s="25"/>
      <c r="K10" s="25"/>
      <c r="L10" s="25"/>
      <c r="M10" s="24"/>
      <c r="N10" s="24"/>
      <c r="O10" s="24"/>
    </row>
    <row r="11" spans="1:15">
      <c r="A11" s="263" t="s">
        <v>589</v>
      </c>
      <c r="B11" s="23"/>
      <c r="C11" s="23"/>
      <c r="D11" s="25"/>
      <c r="E11" s="205"/>
      <c r="F11" s="1"/>
      <c r="G11" s="1"/>
      <c r="H11" s="25"/>
      <c r="I11" s="25"/>
      <c r="J11" s="25"/>
      <c r="K11" s="25"/>
      <c r="L11" s="25"/>
      <c r="M11" s="24"/>
      <c r="N11" s="24"/>
      <c r="O11" s="24"/>
    </row>
    <row r="12" spans="1:15">
      <c r="A12" s="24" t="s">
        <v>541</v>
      </c>
      <c r="B12" s="24"/>
      <c r="C12" s="34">
        <v>615901604</v>
      </c>
      <c r="D12" s="25"/>
      <c r="E12" s="179" t="s">
        <v>542</v>
      </c>
      <c r="F12" s="1"/>
      <c r="G12" s="1"/>
      <c r="H12" s="25"/>
      <c r="I12" s="25"/>
      <c r="J12" s="25"/>
      <c r="K12" s="25"/>
      <c r="L12" s="25"/>
      <c r="M12" s="24"/>
      <c r="N12" s="24"/>
      <c r="O12" s="24"/>
    </row>
    <row r="13" spans="1:15">
      <c r="A13" s="24"/>
      <c r="B13" s="24"/>
      <c r="C13" s="34"/>
      <c r="D13" s="25"/>
      <c r="E13" s="179"/>
      <c r="F13" s="1"/>
      <c r="G13" s="1"/>
      <c r="H13" s="25"/>
      <c r="I13" s="25"/>
      <c r="J13" s="25"/>
      <c r="K13" s="25"/>
      <c r="L13" s="25"/>
      <c r="M13" s="24"/>
      <c r="N13" s="24"/>
      <c r="O13" s="24"/>
    </row>
    <row r="14" spans="1:15">
      <c r="A14" s="24" t="s">
        <v>590</v>
      </c>
      <c r="B14" s="24"/>
      <c r="C14" s="34">
        <v>0</v>
      </c>
      <c r="D14" s="25"/>
      <c r="E14" s="179" t="s">
        <v>592</v>
      </c>
      <c r="F14" s="1"/>
      <c r="G14" s="1"/>
      <c r="H14" s="25"/>
      <c r="I14" s="25"/>
      <c r="J14" s="25"/>
      <c r="K14" s="25"/>
      <c r="L14" s="25"/>
      <c r="M14" s="24"/>
      <c r="N14" s="24"/>
      <c r="O14" s="24"/>
    </row>
    <row r="15" spans="1:15">
      <c r="A15" s="24"/>
      <c r="B15" s="24"/>
      <c r="C15" s="34"/>
      <c r="D15" s="25"/>
      <c r="E15" s="179"/>
      <c r="F15" s="1"/>
      <c r="G15" s="1"/>
      <c r="H15" s="25"/>
      <c r="I15" s="25"/>
      <c r="J15" s="25"/>
      <c r="K15" s="25"/>
      <c r="L15" s="25"/>
      <c r="M15" s="24"/>
      <c r="N15" s="24"/>
      <c r="O15" s="24"/>
    </row>
    <row r="16" spans="1:15">
      <c r="A16" s="24" t="s">
        <v>685</v>
      </c>
      <c r="B16" s="24"/>
      <c r="C16" s="34">
        <v>3541049</v>
      </c>
      <c r="D16" s="25"/>
      <c r="E16" s="179" t="s">
        <v>686</v>
      </c>
      <c r="F16" s="1"/>
      <c r="G16" s="1"/>
      <c r="H16" s="25"/>
      <c r="I16" s="25"/>
      <c r="J16" s="25"/>
      <c r="K16" s="25"/>
      <c r="L16" s="25"/>
      <c r="M16" s="24"/>
      <c r="N16" s="24"/>
      <c r="O16" s="24"/>
    </row>
    <row r="17" spans="1:15">
      <c r="A17" s="24" t="s">
        <v>591</v>
      </c>
      <c r="B17" s="24"/>
      <c r="C17" s="34">
        <f>+C12+C14+C16</f>
        <v>619442653</v>
      </c>
      <c r="D17" s="25"/>
      <c r="E17" s="179"/>
      <c r="F17" s="1"/>
      <c r="G17" s="1"/>
      <c r="H17" s="25"/>
      <c r="I17" s="25"/>
      <c r="J17" s="25"/>
      <c r="K17" s="25"/>
      <c r="L17" s="25"/>
      <c r="M17" s="24"/>
      <c r="N17" s="24"/>
      <c r="O17" s="24"/>
    </row>
    <row r="18" spans="1:15">
      <c r="A18" s="24"/>
      <c r="B18" s="24"/>
      <c r="C18" s="34"/>
      <c r="D18" s="25"/>
      <c r="E18" s="179"/>
      <c r="F18" s="1"/>
      <c r="G18" s="1"/>
      <c r="H18" s="25"/>
      <c r="I18" s="25"/>
      <c r="J18" s="25"/>
      <c r="K18" s="25"/>
      <c r="L18" s="25"/>
      <c r="M18" s="24"/>
      <c r="N18" s="24"/>
      <c r="O18" s="24"/>
    </row>
    <row r="19" spans="1:15">
      <c r="A19" s="264" t="s">
        <v>109</v>
      </c>
      <c r="B19" s="24"/>
      <c r="C19" s="34"/>
      <c r="D19" s="25"/>
      <c r="E19" s="179"/>
      <c r="F19" s="1"/>
      <c r="G19" s="1"/>
      <c r="H19" s="25"/>
      <c r="I19" s="25"/>
      <c r="J19" s="25"/>
      <c r="K19" s="25"/>
      <c r="L19" s="25"/>
      <c r="M19" s="24"/>
      <c r="N19" s="24"/>
      <c r="O19" s="24"/>
    </row>
    <row r="20" spans="1:15">
      <c r="A20" s="278" t="s">
        <v>543</v>
      </c>
      <c r="B20" s="279"/>
      <c r="C20" s="280">
        <v>21320605</v>
      </c>
      <c r="D20" s="280"/>
      <c r="E20" s="281" t="s">
        <v>545</v>
      </c>
      <c r="F20" s="25"/>
      <c r="G20" s="25"/>
      <c r="H20" s="25"/>
      <c r="I20" s="25"/>
      <c r="J20" s="25"/>
      <c r="K20" s="25"/>
      <c r="L20" s="25"/>
      <c r="M20" s="24"/>
      <c r="N20" s="24"/>
      <c r="O20" s="24"/>
    </row>
    <row r="21" spans="1:15">
      <c r="A21" s="278" t="s">
        <v>544</v>
      </c>
      <c r="B21" s="279"/>
      <c r="C21" s="280">
        <v>-147959</v>
      </c>
      <c r="D21" s="280"/>
      <c r="E21" s="281" t="s">
        <v>545</v>
      </c>
      <c r="F21" s="25"/>
      <c r="G21" s="25"/>
      <c r="H21" s="25"/>
      <c r="I21" s="25"/>
      <c r="J21" s="25"/>
      <c r="K21" s="25"/>
      <c r="L21" s="25"/>
      <c r="M21" s="24"/>
      <c r="N21" s="24"/>
      <c r="O21" s="24"/>
    </row>
    <row r="22" spans="1:15">
      <c r="A22" s="23" t="s">
        <v>113</v>
      </c>
      <c r="B22" s="23"/>
      <c r="C22" s="23" t="s">
        <v>113</v>
      </c>
      <c r="D22" s="25"/>
      <c r="E22" s="25"/>
      <c r="F22" s="25"/>
      <c r="G22" s="25"/>
      <c r="H22" s="25"/>
      <c r="I22" s="25"/>
      <c r="J22" s="25"/>
      <c r="K22" s="25"/>
      <c r="L22" s="25"/>
      <c r="M22" s="24"/>
      <c r="N22" s="24"/>
      <c r="O22" s="24"/>
    </row>
    <row r="26" spans="1:15">
      <c r="A26" s="193" t="s">
        <v>279</v>
      </c>
    </row>
    <row r="27" spans="1:15" ht="15.6">
      <c r="A27" s="194" t="s">
        <v>459</v>
      </c>
    </row>
    <row r="28" spans="1:15" ht="15.6">
      <c r="A28" s="379" t="s">
        <v>913</v>
      </c>
    </row>
    <row r="30" spans="1:15">
      <c r="A30" t="s">
        <v>113</v>
      </c>
    </row>
  </sheetData>
  <mergeCells count="5">
    <mergeCell ref="A6:O6"/>
    <mergeCell ref="A2:G2"/>
    <mergeCell ref="A3:G3"/>
    <mergeCell ref="A4:G4"/>
    <mergeCell ref="A5:G5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  <colBreaks count="1" manualBreakCount="1">
    <brk id="11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5"/>
  <sheetViews>
    <sheetView showGridLines="0" view="pageBreakPreview" zoomScaleNormal="100" zoomScaleSheetLayoutView="100" workbookViewId="0">
      <selection activeCell="C18" sqref="C18"/>
    </sheetView>
  </sheetViews>
  <sheetFormatPr defaultRowHeight="13.2"/>
  <cols>
    <col min="1" max="1" width="23.88671875" customWidth="1"/>
    <col min="2" max="2" width="2.33203125" customWidth="1"/>
    <col min="3" max="3" width="13.33203125" customWidth="1"/>
    <col min="4" max="4" width="9" bestFit="1" customWidth="1"/>
    <col min="5" max="5" width="11" customWidth="1"/>
    <col min="6" max="6" width="3.109375" customWidth="1"/>
    <col min="7" max="7" width="12.88671875" customWidth="1"/>
    <col min="8" max="8" width="11.109375" customWidth="1"/>
    <col min="9" max="9" width="10.88671875" customWidth="1"/>
    <col min="10" max="10" width="2.6640625" customWidth="1"/>
    <col min="11" max="11" width="10.5546875" customWidth="1"/>
    <col min="12" max="12" width="10.88671875" customWidth="1"/>
    <col min="13" max="13" width="10.44140625" customWidth="1"/>
  </cols>
  <sheetData>
    <row r="1" spans="1:13">
      <c r="G1" s="297" t="s">
        <v>113</v>
      </c>
    </row>
    <row r="2" spans="1:13">
      <c r="A2" s="770" t="s">
        <v>625</v>
      </c>
      <c r="B2" s="770"/>
      <c r="C2" s="770"/>
      <c r="D2" s="770"/>
      <c r="E2" s="770"/>
      <c r="F2" s="770"/>
      <c r="G2" s="770"/>
      <c r="H2" s="770"/>
    </row>
    <row r="3" spans="1:13">
      <c r="A3" s="692" t="s">
        <v>605</v>
      </c>
      <c r="B3" s="692"/>
      <c r="C3" s="692"/>
      <c r="D3" s="692"/>
      <c r="E3" s="692"/>
      <c r="F3" s="692"/>
      <c r="G3" s="692"/>
      <c r="H3" s="692"/>
    </row>
    <row r="4" spans="1:13">
      <c r="A4" s="770" t="s">
        <v>622</v>
      </c>
      <c r="B4" s="770"/>
      <c r="C4" s="770"/>
      <c r="D4" s="770"/>
      <c r="E4" s="770"/>
      <c r="F4" s="770"/>
      <c r="G4" s="770"/>
      <c r="H4" s="770"/>
    </row>
    <row r="5" spans="1:13">
      <c r="A5" s="770" t="s">
        <v>1176</v>
      </c>
      <c r="B5" s="770"/>
      <c r="C5" s="770"/>
      <c r="D5" s="770"/>
      <c r="E5" s="770"/>
      <c r="F5" s="770"/>
      <c r="G5" s="770"/>
      <c r="H5" s="770"/>
    </row>
    <row r="6" spans="1:13">
      <c r="A6" s="392" t="s">
        <v>113</v>
      </c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</row>
    <row r="7" spans="1:13">
      <c r="A7" s="392"/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392"/>
    </row>
    <row r="8" spans="1:13">
      <c r="A8" s="392"/>
      <c r="B8" s="392"/>
      <c r="C8" s="392"/>
      <c r="D8" s="392"/>
      <c r="E8" s="392"/>
      <c r="F8" s="392"/>
      <c r="G8" s="392"/>
      <c r="H8" s="392"/>
      <c r="I8" s="392"/>
      <c r="J8" s="392"/>
      <c r="K8" s="392"/>
      <c r="L8" s="392"/>
      <c r="M8" s="392"/>
    </row>
    <row r="9" spans="1:13">
      <c r="A9" s="392"/>
      <c r="B9" s="392"/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2"/>
    </row>
    <row r="10" spans="1:1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1"/>
      <c r="B11" s="1"/>
      <c r="J11" s="1"/>
    </row>
    <row r="12" spans="1:13">
      <c r="A12" s="1"/>
      <c r="B12" s="1"/>
      <c r="C12" s="771" t="s">
        <v>427</v>
      </c>
      <c r="D12" s="771"/>
      <c r="E12" s="771"/>
      <c r="F12" s="1"/>
      <c r="J12" s="1"/>
    </row>
    <row r="13" spans="1:13" ht="15.6">
      <c r="A13" s="1"/>
      <c r="B13" s="1"/>
      <c r="C13" s="107" t="s">
        <v>102</v>
      </c>
      <c r="D13" s="107" t="s">
        <v>603</v>
      </c>
      <c r="E13" s="107" t="s">
        <v>107</v>
      </c>
      <c r="F13" s="107"/>
      <c r="J13" s="107"/>
    </row>
    <row r="14" spans="1:13">
      <c r="A14" s="1" t="s">
        <v>105</v>
      </c>
      <c r="B14" s="1"/>
      <c r="C14" s="3">
        <v>428415</v>
      </c>
      <c r="D14" s="399">
        <f>+C14</f>
        <v>428415</v>
      </c>
      <c r="E14" s="399">
        <v>0</v>
      </c>
      <c r="F14" s="6"/>
      <c r="J14" s="6"/>
    </row>
    <row r="15" spans="1:13">
      <c r="A15" s="1"/>
      <c r="B15" s="1"/>
      <c r="C15" s="6"/>
      <c r="D15" s="3"/>
      <c r="E15" s="3"/>
      <c r="F15" s="6"/>
      <c r="J15" s="6"/>
    </row>
    <row r="16" spans="1:13">
      <c r="A16" s="1" t="s">
        <v>110</v>
      </c>
      <c r="B16" s="1"/>
      <c r="C16" s="3">
        <v>1632032</v>
      </c>
      <c r="D16" s="373"/>
      <c r="E16" s="373"/>
      <c r="F16" s="1"/>
      <c r="J16" s="1"/>
    </row>
    <row r="17" spans="1:13">
      <c r="A17" s="1" t="s">
        <v>111</v>
      </c>
      <c r="B17" s="1"/>
      <c r="C17" s="3">
        <v>2130647</v>
      </c>
      <c r="D17" s="373"/>
      <c r="E17" s="373"/>
      <c r="F17" s="1"/>
      <c r="J17" s="1"/>
    </row>
    <row r="18" spans="1:13" ht="13.8" thickBot="1">
      <c r="A18" s="1" t="s">
        <v>131</v>
      </c>
      <c r="B18" s="1"/>
      <c r="C18" s="479">
        <f>3719+31667</f>
        <v>35386</v>
      </c>
      <c r="D18" s="480"/>
      <c r="E18" s="480"/>
      <c r="F18" s="1"/>
      <c r="J18" s="1"/>
    </row>
    <row r="19" spans="1:13">
      <c r="A19" s="1" t="s">
        <v>103</v>
      </c>
      <c r="B19" s="1"/>
      <c r="C19" s="6">
        <f>C14+C16+C17+C18</f>
        <v>4226480</v>
      </c>
      <c r="D19" s="6">
        <f>D14+D16+D17+D18</f>
        <v>428415</v>
      </c>
      <c r="E19" s="6">
        <f>E14+E16+E17+E18</f>
        <v>0</v>
      </c>
      <c r="F19" s="6"/>
      <c r="J19" s="6"/>
    </row>
    <row r="20" spans="1:13">
      <c r="A20" s="1"/>
      <c r="B20" s="1"/>
      <c r="C20" s="6"/>
      <c r="D20" s="6"/>
      <c r="E20" s="6"/>
      <c r="F20" s="6"/>
      <c r="J20" s="6"/>
    </row>
    <row r="21" spans="1:13">
      <c r="A21" s="1"/>
      <c r="B21" s="1"/>
      <c r="C21" s="231" t="s">
        <v>431</v>
      </c>
      <c r="D21" s="124"/>
      <c r="E21" s="6"/>
      <c r="F21" s="6"/>
      <c r="J21" s="6"/>
      <c r="K21" s="6"/>
      <c r="L21" s="6"/>
      <c r="M21" s="6"/>
    </row>
    <row r="22" spans="1:13">
      <c r="A22" s="1"/>
      <c r="B22" s="1"/>
      <c r="C22" s="231"/>
      <c r="D22" s="231"/>
      <c r="E22" s="6"/>
      <c r="F22" s="6"/>
      <c r="G22" s="231"/>
      <c r="H22" s="124"/>
      <c r="I22" s="6"/>
      <c r="J22" s="6"/>
      <c r="K22" s="6"/>
      <c r="L22" s="6"/>
      <c r="M22" s="6"/>
    </row>
    <row r="23" spans="1:13">
      <c r="A23" s="193" t="s">
        <v>279</v>
      </c>
      <c r="L23" s="230"/>
    </row>
    <row r="24" spans="1:13" ht="15.6">
      <c r="A24" s="195" t="s">
        <v>604</v>
      </c>
    </row>
    <row r="25" spans="1:13">
      <c r="A25" s="210" t="s">
        <v>528</v>
      </c>
    </row>
  </sheetData>
  <mergeCells count="5">
    <mergeCell ref="A2:H2"/>
    <mergeCell ref="A4:H4"/>
    <mergeCell ref="A5:H5"/>
    <mergeCell ref="C12:E12"/>
    <mergeCell ref="A3:H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H7"/>
  <sheetViews>
    <sheetView view="pageBreakPreview" zoomScale="60" zoomScaleNormal="100" workbookViewId="0">
      <selection activeCell="L9" sqref="L9"/>
    </sheetView>
  </sheetViews>
  <sheetFormatPr defaultRowHeight="13.2"/>
  <sheetData>
    <row r="1" spans="1:8">
      <c r="A1" s="210" t="s">
        <v>113</v>
      </c>
      <c r="H1" s="284" t="s">
        <v>113</v>
      </c>
    </row>
    <row r="2" spans="1:8">
      <c r="A2" s="692" t="s">
        <v>625</v>
      </c>
      <c r="B2" s="692"/>
      <c r="C2" s="692"/>
      <c r="D2" s="692"/>
      <c r="E2" s="692"/>
      <c r="F2" s="692"/>
      <c r="G2" s="692"/>
      <c r="H2" s="692"/>
    </row>
    <row r="3" spans="1:8">
      <c r="A3" s="699" t="s">
        <v>605</v>
      </c>
      <c r="B3" s="692"/>
      <c r="C3" s="692"/>
      <c r="D3" s="692"/>
      <c r="E3" s="692"/>
      <c r="F3" s="692"/>
      <c r="G3" s="692"/>
      <c r="H3" s="692"/>
    </row>
    <row r="4" spans="1:8">
      <c r="A4" s="692" t="s">
        <v>618</v>
      </c>
      <c r="B4" s="692"/>
      <c r="C4" s="692"/>
      <c r="D4" s="692"/>
      <c r="E4" s="692"/>
      <c r="F4" s="692"/>
      <c r="G4" s="692"/>
      <c r="H4" s="692"/>
    </row>
    <row r="7" spans="1:8">
      <c r="B7" t="s">
        <v>619</v>
      </c>
    </row>
  </sheetData>
  <mergeCells count="3">
    <mergeCell ref="A2:H2"/>
    <mergeCell ref="A3:H3"/>
    <mergeCell ref="A4:H4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O43"/>
  <sheetViews>
    <sheetView showGridLines="0" view="pageBreakPreview" zoomScale="60" zoomScaleNormal="100" workbookViewId="0">
      <selection activeCell="A24" sqref="A24"/>
    </sheetView>
  </sheetViews>
  <sheetFormatPr defaultColWidth="9.109375" defaultRowHeight="13.2"/>
  <cols>
    <col min="1" max="1" width="19.33203125" style="7" customWidth="1"/>
    <col min="2" max="2" width="15.6640625" style="7" customWidth="1"/>
    <col min="3" max="3" width="16.6640625" style="7" customWidth="1"/>
    <col min="4" max="4" width="21.109375" style="7" customWidth="1"/>
    <col min="5" max="5" width="16" style="7" customWidth="1"/>
    <col min="6" max="6" width="16.44140625" style="7" customWidth="1"/>
    <col min="7" max="7" width="13.6640625" style="7" bestFit="1" customWidth="1"/>
    <col min="8" max="8" width="21.33203125" style="7" customWidth="1"/>
    <col min="9" max="9" width="16.109375" style="7" customWidth="1"/>
    <col min="10" max="10" width="11" style="7" hidden="1" customWidth="1"/>
    <col min="11" max="11" width="16.109375" style="7" customWidth="1"/>
    <col min="12" max="12" width="13.109375" style="7" customWidth="1"/>
    <col min="13" max="15" width="15.6640625" style="7" customWidth="1"/>
    <col min="16" max="16384" width="9.109375" style="7"/>
  </cols>
  <sheetData>
    <row r="1" spans="1:15">
      <c r="A1" s="7" t="s">
        <v>113</v>
      </c>
      <c r="L1" s="284" t="s">
        <v>113</v>
      </c>
    </row>
    <row r="2" spans="1:15">
      <c r="A2" s="692" t="s">
        <v>625</v>
      </c>
      <c r="B2" s="692"/>
      <c r="C2" s="692"/>
      <c r="D2" s="692"/>
      <c r="E2" s="692"/>
      <c r="F2" s="692"/>
      <c r="G2" s="692"/>
      <c r="H2" s="692"/>
      <c r="I2" s="692"/>
      <c r="J2" s="692"/>
      <c r="K2" s="692"/>
      <c r="L2" s="692"/>
    </row>
    <row r="3" spans="1:15">
      <c r="A3" s="696" t="s">
        <v>609</v>
      </c>
      <c r="B3" s="696"/>
      <c r="C3" s="701"/>
      <c r="D3" s="701"/>
      <c r="E3" s="701"/>
      <c r="F3" s="701"/>
      <c r="G3" s="701"/>
      <c r="H3" s="701"/>
      <c r="I3" s="701"/>
      <c r="J3" s="701"/>
      <c r="K3" s="701"/>
      <c r="M3"/>
      <c r="N3"/>
      <c r="O3"/>
    </row>
    <row r="4" spans="1:15">
      <c r="A4" s="692" t="s">
        <v>610</v>
      </c>
      <c r="B4" s="692"/>
      <c r="C4" s="692"/>
      <c r="D4" s="692"/>
      <c r="E4" s="692"/>
      <c r="F4" s="692"/>
      <c r="G4" s="692"/>
      <c r="H4" s="692"/>
      <c r="I4" s="692"/>
      <c r="J4" s="692"/>
      <c r="K4" s="692"/>
      <c r="L4" s="692"/>
      <c r="M4"/>
      <c r="N4"/>
      <c r="O4"/>
    </row>
    <row r="5" spans="1:15">
      <c r="A5" s="700" t="s">
        <v>1177</v>
      </c>
      <c r="B5" s="692"/>
      <c r="C5" s="692"/>
      <c r="D5" s="692"/>
      <c r="E5" s="692"/>
      <c r="F5" s="692"/>
      <c r="G5" s="692"/>
      <c r="H5" s="692"/>
      <c r="I5" s="692"/>
      <c r="J5" s="692"/>
      <c r="K5" s="692"/>
      <c r="L5" s="692"/>
      <c r="M5"/>
      <c r="N5"/>
      <c r="O5"/>
    </row>
    <row r="7" spans="1:15">
      <c r="C7" s="9" t="s">
        <v>281</v>
      </c>
      <c r="D7" s="9" t="s">
        <v>282</v>
      </c>
      <c r="E7" s="9">
        <v>1540006</v>
      </c>
      <c r="F7" s="9">
        <v>1540012</v>
      </c>
      <c r="G7" s="9">
        <v>1540013</v>
      </c>
      <c r="H7" s="9">
        <v>1540022</v>
      </c>
      <c r="I7" s="9">
        <v>1540023</v>
      </c>
      <c r="J7" s="9" t="s">
        <v>283</v>
      </c>
      <c r="K7" s="9"/>
    </row>
    <row r="8" spans="1:15">
      <c r="C8" s="9" t="s">
        <v>284</v>
      </c>
      <c r="D8" s="9" t="s">
        <v>284</v>
      </c>
      <c r="E8" s="9" t="s">
        <v>626</v>
      </c>
      <c r="F8" s="9" t="s">
        <v>460</v>
      </c>
      <c r="G8" s="9" t="s">
        <v>122</v>
      </c>
      <c r="H8" s="9" t="s">
        <v>284</v>
      </c>
      <c r="I8" s="9" t="s">
        <v>284</v>
      </c>
      <c r="J8" s="9" t="s">
        <v>284</v>
      </c>
      <c r="K8" s="9" t="s">
        <v>284</v>
      </c>
    </row>
    <row r="9" spans="1:15" ht="15.6">
      <c r="A9" s="18" t="s">
        <v>272</v>
      </c>
      <c r="B9" s="18" t="s">
        <v>714</v>
      </c>
      <c r="C9" s="205" t="s">
        <v>285</v>
      </c>
      <c r="D9" s="205" t="s">
        <v>286</v>
      </c>
      <c r="E9" s="205" t="s">
        <v>627</v>
      </c>
      <c r="F9" s="205" t="s">
        <v>563</v>
      </c>
      <c r="G9" s="205" t="s">
        <v>628</v>
      </c>
      <c r="H9" s="205" t="s">
        <v>461</v>
      </c>
      <c r="I9" s="205" t="s">
        <v>460</v>
      </c>
      <c r="J9" s="205" t="s">
        <v>287</v>
      </c>
      <c r="K9" s="205" t="s">
        <v>103</v>
      </c>
      <c r="L9" s="205" t="s">
        <v>277</v>
      </c>
    </row>
    <row r="10" spans="1:15">
      <c r="A10" s="209">
        <v>42735</v>
      </c>
      <c r="B10" s="209" t="s">
        <v>105</v>
      </c>
      <c r="C10" s="364">
        <v>64618519</v>
      </c>
      <c r="D10" s="42">
        <v>659706</v>
      </c>
      <c r="E10" s="42">
        <v>2802974</v>
      </c>
      <c r="F10" s="42">
        <v>347377</v>
      </c>
      <c r="G10" s="42">
        <v>0</v>
      </c>
      <c r="H10" s="42">
        <v>393289</v>
      </c>
      <c r="I10" s="42">
        <v>2211140</v>
      </c>
      <c r="J10" s="42">
        <v>0</v>
      </c>
      <c r="K10" s="43">
        <f>SUM(C10:J10)</f>
        <v>71033005</v>
      </c>
    </row>
    <row r="11" spans="1:15">
      <c r="B11" s="7" t="s">
        <v>110</v>
      </c>
      <c r="C11" s="364">
        <v>13020757</v>
      </c>
      <c r="D11" s="42">
        <v>0</v>
      </c>
      <c r="E11" s="42">
        <v>0</v>
      </c>
      <c r="F11" s="42">
        <v>0</v>
      </c>
      <c r="G11" s="402">
        <v>0</v>
      </c>
      <c r="H11" s="42">
        <v>0</v>
      </c>
      <c r="I11" s="42">
        <v>0</v>
      </c>
      <c r="J11" s="42">
        <v>0</v>
      </c>
      <c r="K11" s="43">
        <f>SUM(C11:J11)</f>
        <v>13020757</v>
      </c>
      <c r="L11" s="27"/>
    </row>
    <row r="12" spans="1:15">
      <c r="B12" s="7" t="s">
        <v>111</v>
      </c>
      <c r="C12" s="366">
        <v>13514168</v>
      </c>
      <c r="D12" s="95">
        <v>0</v>
      </c>
      <c r="E12" s="95">
        <v>0</v>
      </c>
      <c r="F12" s="95">
        <v>0</v>
      </c>
      <c r="G12" s="95">
        <v>802478</v>
      </c>
      <c r="H12" s="95">
        <v>0</v>
      </c>
      <c r="I12" s="95">
        <v>0</v>
      </c>
      <c r="J12" s="95">
        <v>0</v>
      </c>
      <c r="K12" s="367">
        <f>SUM(C12:J12)</f>
        <v>14316646</v>
      </c>
      <c r="L12" s="27"/>
    </row>
    <row r="13" spans="1:15">
      <c r="B13" s="7" t="s">
        <v>103</v>
      </c>
      <c r="C13" s="365">
        <f t="shared" ref="C13:K13" si="0">SUM(C10:C12)</f>
        <v>91153444</v>
      </c>
      <c r="D13" s="365">
        <f t="shared" si="0"/>
        <v>659706</v>
      </c>
      <c r="E13" s="365">
        <f t="shared" si="0"/>
        <v>2802974</v>
      </c>
      <c r="F13" s="365">
        <f t="shared" si="0"/>
        <v>347377</v>
      </c>
      <c r="G13" s="365">
        <f t="shared" si="0"/>
        <v>802478</v>
      </c>
      <c r="H13" s="365">
        <f t="shared" si="0"/>
        <v>393289</v>
      </c>
      <c r="I13" s="365">
        <f t="shared" si="0"/>
        <v>2211140</v>
      </c>
      <c r="J13" s="365">
        <f t="shared" si="0"/>
        <v>0</v>
      </c>
      <c r="K13" s="43">
        <f t="shared" si="0"/>
        <v>98370408</v>
      </c>
      <c r="L13" s="27" t="s">
        <v>288</v>
      </c>
    </row>
    <row r="14" spans="1:15">
      <c r="D14" s="27"/>
      <c r="E14" s="27"/>
      <c r="F14" s="27"/>
      <c r="G14" s="27"/>
      <c r="H14" s="27"/>
      <c r="I14" s="27"/>
      <c r="J14" s="27"/>
      <c r="K14" s="27"/>
      <c r="L14" s="27"/>
    </row>
    <row r="15" spans="1:15">
      <c r="D15" s="27"/>
      <c r="E15" s="27"/>
      <c r="F15" s="27"/>
      <c r="G15" s="27"/>
      <c r="H15" s="27"/>
      <c r="I15" s="27"/>
      <c r="J15" s="27"/>
      <c r="K15" s="27"/>
      <c r="L15" s="27"/>
    </row>
    <row r="16" spans="1:15">
      <c r="C16" s="9">
        <v>158</v>
      </c>
      <c r="D16" s="27"/>
      <c r="E16" s="27"/>
      <c r="F16" s="27"/>
      <c r="G16" s="27"/>
      <c r="H16" s="27"/>
      <c r="I16" s="27"/>
      <c r="J16" s="27"/>
      <c r="K16" s="27"/>
      <c r="L16" s="27"/>
    </row>
    <row r="17" spans="1:12" ht="15.6">
      <c r="A17" s="18" t="s">
        <v>272</v>
      </c>
      <c r="B17" s="18" t="s">
        <v>715</v>
      </c>
      <c r="C17" s="205" t="s">
        <v>148</v>
      </c>
      <c r="D17" s="27"/>
      <c r="E17" s="27"/>
      <c r="F17" s="27"/>
      <c r="G17" s="27"/>
      <c r="H17" s="27"/>
      <c r="I17" s="27"/>
      <c r="J17" s="27"/>
      <c r="K17" s="27"/>
      <c r="L17" s="205" t="s">
        <v>277</v>
      </c>
    </row>
    <row r="18" spans="1:12">
      <c r="A18" s="209">
        <v>42735</v>
      </c>
      <c r="B18" s="209" t="s">
        <v>105</v>
      </c>
      <c r="C18" s="42">
        <v>23209770</v>
      </c>
      <c r="D18" s="27"/>
      <c r="E18" s="27"/>
      <c r="F18" s="27"/>
      <c r="G18" s="27"/>
      <c r="H18" s="27"/>
      <c r="I18" s="27"/>
    </row>
    <row r="19" spans="1:12">
      <c r="A19" s="209"/>
      <c r="B19" s="7" t="s">
        <v>110</v>
      </c>
      <c r="C19" s="42">
        <v>0</v>
      </c>
      <c r="D19" s="27"/>
      <c r="E19" s="27"/>
      <c r="F19" s="27"/>
      <c r="G19" s="27"/>
      <c r="H19" s="27"/>
      <c r="I19" s="27"/>
      <c r="L19" s="27"/>
    </row>
    <row r="20" spans="1:12">
      <c r="A20" s="209"/>
      <c r="B20" s="7" t="s">
        <v>111</v>
      </c>
      <c r="C20" s="95">
        <v>0</v>
      </c>
      <c r="D20" s="27"/>
      <c r="E20" s="27"/>
      <c r="F20" s="27"/>
      <c r="G20" s="27"/>
      <c r="H20" s="27"/>
      <c r="I20" s="27"/>
      <c r="L20" s="27"/>
    </row>
    <row r="21" spans="1:12">
      <c r="A21" s="209"/>
      <c r="B21" s="7" t="s">
        <v>103</v>
      </c>
      <c r="C21" s="43">
        <f>SUM(C18:C20)</f>
        <v>23209770</v>
      </c>
      <c r="D21" s="27"/>
      <c r="E21" s="27"/>
      <c r="F21" s="27"/>
      <c r="G21" s="27"/>
      <c r="H21" s="27"/>
      <c r="I21" s="27"/>
      <c r="L21" s="27" t="s">
        <v>598</v>
      </c>
    </row>
    <row r="22" spans="1:12">
      <c r="A22" s="209"/>
      <c r="B22" s="209"/>
      <c r="C22" s="42"/>
      <c r="D22" s="27"/>
      <c r="E22" s="27"/>
      <c r="F22" s="27"/>
      <c r="G22" s="27"/>
      <c r="H22" s="27"/>
      <c r="I22" s="27"/>
      <c r="L22" s="27"/>
    </row>
    <row r="23" spans="1:12">
      <c r="A23" s="18" t="s">
        <v>1178</v>
      </c>
      <c r="B23" s="18"/>
      <c r="C23" s="42"/>
      <c r="D23" s="27"/>
      <c r="E23" s="27"/>
      <c r="F23" s="27"/>
      <c r="G23" s="27"/>
      <c r="H23" s="27"/>
      <c r="I23" s="27"/>
      <c r="L23" s="27"/>
    </row>
    <row r="24" spans="1:12">
      <c r="A24" s="209">
        <v>42735</v>
      </c>
      <c r="B24" s="209" t="s">
        <v>105</v>
      </c>
      <c r="C24" s="429">
        <f>+K10/K13</f>
        <v>0.72209728966459097</v>
      </c>
      <c r="D24" s="27"/>
      <c r="E24" s="27"/>
      <c r="F24" s="27"/>
      <c r="G24" s="27"/>
      <c r="H24" s="27"/>
      <c r="I24" s="27"/>
      <c r="L24" s="27"/>
    </row>
    <row r="25" spans="1:12">
      <c r="A25" s="209"/>
      <c r="B25" s="7" t="s">
        <v>110</v>
      </c>
      <c r="C25" s="429">
        <f>+K11/K13</f>
        <v>0.13236457248403402</v>
      </c>
      <c r="D25" s="27"/>
      <c r="E25" s="27"/>
      <c r="F25" s="27"/>
      <c r="G25" s="27"/>
      <c r="H25" s="27"/>
      <c r="I25" s="27"/>
      <c r="L25" s="27"/>
    </row>
    <row r="26" spans="1:12">
      <c r="A26" s="209"/>
      <c r="B26" s="7" t="s">
        <v>111</v>
      </c>
      <c r="C26" s="388">
        <f>+K12/K13</f>
        <v>0.14553813785137498</v>
      </c>
    </row>
    <row r="27" spans="1:12">
      <c r="A27" s="209"/>
      <c r="B27" s="7" t="s">
        <v>103</v>
      </c>
      <c r="C27" s="389">
        <f>SUM(C24:C26)</f>
        <v>1</v>
      </c>
      <c r="G27"/>
    </row>
    <row r="29" spans="1:12">
      <c r="A29" s="193" t="s">
        <v>279</v>
      </c>
      <c r="B29" s="193"/>
    </row>
    <row r="30" spans="1:12" ht="15.6">
      <c r="A30" s="194" t="s">
        <v>459</v>
      </c>
      <c r="B30" s="194"/>
    </row>
    <row r="31" spans="1:12" ht="15.6">
      <c r="A31" s="195" t="s">
        <v>68</v>
      </c>
      <c r="B31" s="195"/>
    </row>
    <row r="34" spans="3:10">
      <c r="G34" s="306"/>
      <c r="H34" s="306"/>
      <c r="I34" s="306"/>
      <c r="J34" s="306"/>
    </row>
    <row r="36" spans="3:10">
      <c r="C36" s="403"/>
      <c r="D36" s="404"/>
      <c r="G36" s="405"/>
      <c r="H36" s="405"/>
      <c r="I36" s="405"/>
      <c r="J36" s="405"/>
    </row>
    <row r="37" spans="3:10">
      <c r="C37" s="403"/>
      <c r="D37" s="404"/>
      <c r="G37" s="405"/>
      <c r="H37" s="405"/>
      <c r="I37" s="405"/>
      <c r="J37" s="405"/>
    </row>
    <row r="38" spans="3:10">
      <c r="C38" s="403"/>
      <c r="D38" s="404"/>
      <c r="G38" s="405"/>
      <c r="H38" s="405"/>
      <c r="I38" s="405"/>
      <c r="J38" s="405"/>
    </row>
    <row r="39" spans="3:10">
      <c r="C39" s="403"/>
      <c r="D39" s="404"/>
      <c r="G39" s="405"/>
      <c r="H39" s="405"/>
      <c r="I39" s="405"/>
      <c r="J39" s="405"/>
    </row>
    <row r="40" spans="3:10">
      <c r="C40" s="403"/>
      <c r="D40" s="404"/>
      <c r="G40" s="405"/>
      <c r="H40" s="405"/>
      <c r="I40" s="405"/>
      <c r="J40" s="405"/>
    </row>
    <row r="41" spans="3:10">
      <c r="C41" s="403"/>
      <c r="D41" s="404"/>
      <c r="G41" s="405"/>
      <c r="H41" s="405"/>
      <c r="I41" s="405"/>
      <c r="J41" s="405"/>
    </row>
    <row r="42" spans="3:10">
      <c r="C42" s="403"/>
      <c r="D42" s="404"/>
      <c r="G42" s="405"/>
      <c r="H42" s="405"/>
      <c r="I42" s="405"/>
      <c r="J42" s="405"/>
    </row>
    <row r="43" spans="3:10">
      <c r="C43" s="403"/>
      <c r="D43" s="404"/>
      <c r="G43" s="405"/>
      <c r="H43" s="405"/>
      <c r="I43" s="405"/>
      <c r="J43" s="405"/>
    </row>
  </sheetData>
  <mergeCells count="4">
    <mergeCell ref="A2:L2"/>
    <mergeCell ref="A4:L4"/>
    <mergeCell ref="A5:L5"/>
    <mergeCell ref="A3:K3"/>
  </mergeCells>
  <phoneticPr fontId="2" type="noConversion"/>
  <pageMargins left="0.5" right="0.5" top="0.5" bottom="0.5" header="0.5" footer="0.25"/>
  <pageSetup scale="48" orientation="portrait" r:id="rId1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M33"/>
  <sheetViews>
    <sheetView showGridLines="0" view="pageBreakPreview" zoomScale="60" zoomScaleNormal="100" workbookViewId="0">
      <selection activeCell="B17" sqref="B17"/>
    </sheetView>
  </sheetViews>
  <sheetFormatPr defaultColWidth="17.88671875" defaultRowHeight="13.2"/>
  <cols>
    <col min="1" max="1" width="9.33203125" style="7" customWidth="1"/>
    <col min="2" max="2" width="19" style="7" customWidth="1"/>
    <col min="3" max="3" width="16.5546875" style="7" customWidth="1"/>
    <col min="4" max="6" width="10.33203125" style="7" bestFit="1" customWidth="1"/>
    <col min="7" max="7" width="16.33203125" style="7" customWidth="1"/>
    <col min="8" max="8" width="2.88671875" style="7" customWidth="1"/>
    <col min="9" max="9" width="17.44140625" style="7" customWidth="1"/>
    <col min="10" max="10" width="8.33203125" style="7" bestFit="1" customWidth="1"/>
    <col min="11" max="11" width="1.5546875" style="7" customWidth="1"/>
    <col min="12" max="12" width="5.44140625" style="7" bestFit="1" customWidth="1"/>
    <col min="13" max="13" width="20" style="7" customWidth="1"/>
    <col min="14" max="14" width="16.109375" style="7" customWidth="1"/>
    <col min="15" max="15" width="15.5546875" style="7" customWidth="1"/>
    <col min="16" max="17" width="14.44140625" style="7" customWidth="1"/>
    <col min="18" max="18" width="16.6640625" style="7" customWidth="1"/>
    <col min="19" max="19" width="15" style="7" customWidth="1"/>
    <col min="20" max="16384" width="17.88671875" style="7"/>
  </cols>
  <sheetData>
    <row r="1" spans="1:13">
      <c r="A1" s="7" t="s">
        <v>113</v>
      </c>
      <c r="M1" s="284" t="s">
        <v>113</v>
      </c>
    </row>
    <row r="2" spans="1:13">
      <c r="A2" s="702" t="s">
        <v>629</v>
      </c>
      <c r="B2" s="702"/>
      <c r="C2" s="702"/>
      <c r="D2" s="702"/>
      <c r="E2" s="702"/>
      <c r="F2" s="702"/>
      <c r="G2" s="702"/>
      <c r="H2" s="702"/>
      <c r="I2" s="702"/>
      <c r="J2" s="702"/>
      <c r="M2" s="284" t="s">
        <v>113</v>
      </c>
    </row>
    <row r="3" spans="1:13">
      <c r="A3" s="696" t="s">
        <v>611</v>
      </c>
      <c r="B3" s="701"/>
      <c r="C3" s="701"/>
      <c r="D3" s="701"/>
      <c r="E3" s="701"/>
      <c r="F3" s="701"/>
      <c r="G3" s="701"/>
      <c r="H3" s="701"/>
      <c r="I3" s="701"/>
      <c r="J3" s="701"/>
    </row>
    <row r="4" spans="1:13">
      <c r="A4" s="702" t="s">
        <v>612</v>
      </c>
      <c r="B4" s="702"/>
      <c r="C4" s="702"/>
      <c r="D4" s="702"/>
      <c r="E4" s="702"/>
      <c r="F4" s="702"/>
      <c r="G4" s="702"/>
      <c r="H4" s="702"/>
      <c r="I4" s="702"/>
      <c r="J4" s="702"/>
      <c r="M4" s="8" t="s">
        <v>113</v>
      </c>
    </row>
    <row r="5" spans="1:13">
      <c r="A5" s="703" t="s">
        <v>1175</v>
      </c>
      <c r="B5" s="703"/>
      <c r="C5" s="703"/>
      <c r="D5" s="703"/>
      <c r="E5" s="703"/>
      <c r="F5" s="703"/>
      <c r="G5" s="703"/>
      <c r="H5" s="703"/>
      <c r="I5" s="703"/>
      <c r="J5" s="703"/>
    </row>
    <row r="8" spans="1:13">
      <c r="B8" s="40">
        <v>1510001</v>
      </c>
      <c r="C8" s="40">
        <v>1510002</v>
      </c>
      <c r="D8" s="40">
        <v>1510003</v>
      </c>
      <c r="E8" s="40">
        <v>1510004</v>
      </c>
      <c r="F8" s="40">
        <v>1510019</v>
      </c>
      <c r="G8" s="40">
        <v>1510020</v>
      </c>
      <c r="H8"/>
      <c r="L8" s="108"/>
    </row>
    <row r="9" spans="1:13">
      <c r="B9" s="9" t="s">
        <v>271</v>
      </c>
      <c r="C9" s="9" t="s">
        <v>271</v>
      </c>
      <c r="D9" s="9" t="s">
        <v>271</v>
      </c>
      <c r="E9" s="9" t="s">
        <v>271</v>
      </c>
      <c r="F9" s="9" t="s">
        <v>271</v>
      </c>
      <c r="G9" s="9" t="s">
        <v>271</v>
      </c>
      <c r="H9"/>
      <c r="I9" s="9" t="s">
        <v>271</v>
      </c>
      <c r="L9"/>
      <c r="M9"/>
    </row>
    <row r="10" spans="1:13" ht="15.6">
      <c r="A10" s="110" t="s">
        <v>272</v>
      </c>
      <c r="B10" s="18" t="s">
        <v>273</v>
      </c>
      <c r="C10" s="18" t="s">
        <v>274</v>
      </c>
      <c r="D10" s="18" t="s">
        <v>275</v>
      </c>
      <c r="E10" s="18" t="s">
        <v>276</v>
      </c>
      <c r="F10" s="18" t="s">
        <v>630</v>
      </c>
      <c r="G10" s="18" t="s">
        <v>565</v>
      </c>
      <c r="H10"/>
      <c r="I10" s="18" t="s">
        <v>103</v>
      </c>
      <c r="J10" s="205" t="s">
        <v>277</v>
      </c>
      <c r="L10"/>
      <c r="M10"/>
    </row>
    <row r="11" spans="1:13">
      <c r="A11" s="209">
        <v>42705</v>
      </c>
      <c r="B11" s="38">
        <v>97101169</v>
      </c>
      <c r="C11" s="38">
        <v>4120083</v>
      </c>
      <c r="D11" s="38">
        <v>240373</v>
      </c>
      <c r="E11" s="38">
        <v>0</v>
      </c>
      <c r="F11" s="38">
        <v>0</v>
      </c>
      <c r="G11" s="38">
        <v>5799263</v>
      </c>
      <c r="H11"/>
      <c r="I11" s="37">
        <f>SUM(B11:H11)</f>
        <v>107260888</v>
      </c>
      <c r="J11" s="207" t="s">
        <v>564</v>
      </c>
      <c r="L11"/>
      <c r="M11"/>
    </row>
    <row r="12" spans="1:13">
      <c r="B12" s="208"/>
      <c r="C12" s="208"/>
      <c r="D12" s="208"/>
      <c r="E12" s="208"/>
      <c r="F12" s="208"/>
      <c r="G12" s="208"/>
      <c r="H12" s="208"/>
      <c r="I12" s="208"/>
      <c r="L12"/>
      <c r="M12"/>
    </row>
    <row r="13" spans="1:13">
      <c r="I13" s="13"/>
      <c r="L13" s="206" t="s">
        <v>103</v>
      </c>
      <c r="M13" s="13">
        <f>+I11</f>
        <v>107260888</v>
      </c>
    </row>
    <row r="14" spans="1:13">
      <c r="B14" s="40">
        <v>1520000</v>
      </c>
      <c r="E14"/>
      <c r="F14"/>
      <c r="I14" s="13"/>
      <c r="L14" s="206"/>
      <c r="M14" s="13"/>
    </row>
    <row r="15" spans="1:13">
      <c r="B15" s="9" t="s">
        <v>271</v>
      </c>
      <c r="E15"/>
      <c r="F15"/>
      <c r="I15" s="13"/>
      <c r="L15" s="206"/>
      <c r="M15" s="13"/>
    </row>
    <row r="16" spans="1:13" ht="15.6">
      <c r="A16" s="110" t="s">
        <v>272</v>
      </c>
      <c r="B16" s="18" t="s">
        <v>596</v>
      </c>
      <c r="C16" s="205" t="s">
        <v>277</v>
      </c>
      <c r="E16"/>
      <c r="F16"/>
      <c r="I16" s="13"/>
      <c r="L16" s="206"/>
      <c r="M16" s="13"/>
    </row>
    <row r="17" spans="1:13">
      <c r="A17" s="209">
        <v>42705</v>
      </c>
      <c r="B17" s="38">
        <v>4735695</v>
      </c>
      <c r="C17" s="207" t="s">
        <v>597</v>
      </c>
      <c r="E17"/>
      <c r="F17"/>
      <c r="I17" s="13"/>
      <c r="L17" s="206"/>
      <c r="M17" s="13"/>
    </row>
    <row r="18" spans="1:13">
      <c r="A18" s="209"/>
      <c r="B18" s="38" t="s">
        <v>113</v>
      </c>
      <c r="I18" s="13"/>
      <c r="L18" s="206"/>
      <c r="M18" s="13"/>
    </row>
    <row r="19" spans="1:13">
      <c r="A19" s="193" t="s">
        <v>279</v>
      </c>
    </row>
    <row r="20" spans="1:13" ht="15.6">
      <c r="A20" s="194" t="s">
        <v>459</v>
      </c>
    </row>
    <row r="22" spans="1:13" ht="15.6">
      <c r="A22" s="194" t="s">
        <v>113</v>
      </c>
    </row>
    <row r="29" spans="1:13">
      <c r="C29" s="400"/>
      <c r="D29" s="401"/>
      <c r="E29" s="396"/>
      <c r="F29" s="396"/>
      <c r="G29" s="396"/>
      <c r="H29" s="396"/>
      <c r="I29" s="396"/>
      <c r="J29"/>
    </row>
    <row r="30" spans="1:13">
      <c r="C30" s="400"/>
      <c r="D30" s="401"/>
      <c r="E30" s="396"/>
      <c r="F30" s="396"/>
      <c r="G30" s="396"/>
      <c r="H30" s="396"/>
      <c r="I30" s="396"/>
      <c r="J30"/>
    </row>
    <row r="31" spans="1:13">
      <c r="C31" s="400"/>
      <c r="D31" s="401"/>
      <c r="E31" s="396"/>
      <c r="F31" s="396"/>
      <c r="G31" s="396"/>
      <c r="H31" s="396"/>
      <c r="I31" s="396"/>
      <c r="J31"/>
    </row>
    <row r="32" spans="1:13">
      <c r="C32" s="400"/>
      <c r="D32" s="401"/>
      <c r="E32" s="396"/>
      <c r="F32" s="396"/>
      <c r="G32" s="396"/>
      <c r="H32" s="396"/>
      <c r="I32" s="396"/>
      <c r="J32"/>
    </row>
    <row r="33" spans="3:10">
      <c r="C33" s="400"/>
      <c r="D33" s="401"/>
      <c r="E33" s="396"/>
      <c r="F33" s="396"/>
      <c r="G33" s="396"/>
      <c r="H33" s="396"/>
      <c r="I33" s="396"/>
      <c r="J33"/>
    </row>
  </sheetData>
  <mergeCells count="4">
    <mergeCell ref="A2:J2"/>
    <mergeCell ref="A4:J4"/>
    <mergeCell ref="A5:J5"/>
    <mergeCell ref="A3:J3"/>
  </mergeCells>
  <phoneticPr fontId="2" type="noConversion"/>
  <conditionalFormatting sqref="C29:I33">
    <cfRule type="expression" dxfId="9" priority="1" stopIfTrue="1">
      <formula>AND((#REF!&gt;1000000),(#REF!&gt;0.1))</formula>
    </cfRule>
    <cfRule type="expression" dxfId="8" priority="2" stopIfTrue="1">
      <formula>AND((#REF!&lt;-1000000),(#REF!&lt;-0.1))</formula>
    </cfRule>
    <cfRule type="expression" dxfId="7" priority="3" stopIfTrue="1">
      <formula>AND((#REF!&lt;-1000000),(#REF!&gt;0.1))</formula>
    </cfRule>
  </conditionalFormatting>
  <pageMargins left="0.5" right="0.5" top="0.5" bottom="0.5" header="0.5" footer="0.25"/>
  <pageSetup scale="61" orientation="portrait" r:id="rId1"/>
  <headerFooter alignWithMargins="0"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5"/>
  <sheetViews>
    <sheetView showGridLines="0" view="pageBreakPreview" zoomScale="60" zoomScaleNormal="100" workbookViewId="0">
      <selection activeCell="A42" sqref="A42"/>
    </sheetView>
  </sheetViews>
  <sheetFormatPr defaultColWidth="9.109375" defaultRowHeight="13.2"/>
  <cols>
    <col min="1" max="1" width="13.109375" style="7" customWidth="1"/>
    <col min="2" max="2" width="19.6640625" style="7" customWidth="1"/>
    <col min="3" max="3" width="28.5546875" style="7" customWidth="1"/>
    <col min="4" max="4" width="19.5546875" style="7" bestFit="1" customWidth="1"/>
    <col min="5" max="5" width="24.33203125" style="7" customWidth="1"/>
    <col min="6" max="6" width="23.88671875" style="7" customWidth="1"/>
    <col min="7" max="7" width="21.44140625" style="7" customWidth="1"/>
    <col min="8" max="8" width="24" style="7" customWidth="1"/>
    <col min="9" max="9" width="20.44140625" style="7" customWidth="1"/>
    <col min="10" max="10" width="11.109375" style="7" customWidth="1"/>
    <col min="11" max="11" width="12.5546875" style="7" bestFit="1" customWidth="1"/>
    <col min="12" max="12" width="8.33203125" style="7" bestFit="1" customWidth="1"/>
    <col min="13" max="13" width="10.88671875" style="7" customWidth="1"/>
    <col min="14" max="14" width="15.6640625" style="7" customWidth="1"/>
    <col min="15" max="18" width="14.6640625" style="7" customWidth="1"/>
    <col min="19" max="16384" width="9.109375" style="7"/>
  </cols>
  <sheetData>
    <row r="1" spans="1:18">
      <c r="A1" s="7" t="s">
        <v>113</v>
      </c>
      <c r="L1" s="284" t="s">
        <v>113</v>
      </c>
    </row>
    <row r="2" spans="1:18">
      <c r="A2" s="702" t="s">
        <v>625</v>
      </c>
      <c r="B2" s="692"/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</row>
    <row r="3" spans="1:18">
      <c r="A3" s="696" t="s">
        <v>605</v>
      </c>
      <c r="B3" s="692"/>
      <c r="C3" s="692"/>
      <c r="D3" s="692"/>
      <c r="E3" s="692"/>
      <c r="F3" s="692"/>
      <c r="G3" s="692"/>
      <c r="H3" s="692"/>
      <c r="I3" s="692"/>
      <c r="J3" s="692"/>
      <c r="K3" s="692"/>
      <c r="L3" s="692"/>
      <c r="M3" s="692"/>
    </row>
    <row r="4" spans="1:18">
      <c r="A4" s="702" t="s">
        <v>613</v>
      </c>
      <c r="B4" s="702"/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</row>
    <row r="5" spans="1:18">
      <c r="A5" s="704" t="s">
        <v>1175</v>
      </c>
      <c r="B5" s="692"/>
      <c r="C5" s="692"/>
      <c r="D5" s="692"/>
      <c r="E5" s="692"/>
      <c r="F5" s="692"/>
      <c r="G5" s="692"/>
      <c r="H5" s="692"/>
      <c r="I5" s="692"/>
      <c r="J5" s="692"/>
      <c r="K5" s="692"/>
      <c r="L5" s="692"/>
      <c r="M5" s="692"/>
    </row>
    <row r="9" spans="1:18">
      <c r="B9" s="9" t="s">
        <v>289</v>
      </c>
      <c r="C9" s="9">
        <v>1650004</v>
      </c>
      <c r="D9" s="9">
        <v>1650005</v>
      </c>
      <c r="E9" s="9" t="s">
        <v>290</v>
      </c>
      <c r="F9" s="9" t="s">
        <v>291</v>
      </c>
      <c r="G9" s="9" t="s">
        <v>566</v>
      </c>
      <c r="H9" s="425" t="s">
        <v>975</v>
      </c>
      <c r="I9" s="394" t="s">
        <v>1179</v>
      </c>
      <c r="J9"/>
      <c r="K9" s="9"/>
      <c r="O9" s="236"/>
      <c r="P9" s="236"/>
      <c r="Q9" s="236"/>
      <c r="R9" s="236"/>
    </row>
    <row r="10" spans="1:18">
      <c r="B10" s="9" t="s">
        <v>116</v>
      </c>
      <c r="C10" s="9" t="s">
        <v>116</v>
      </c>
      <c r="D10" s="9" t="s">
        <v>116</v>
      </c>
      <c r="E10" s="9" t="s">
        <v>116</v>
      </c>
      <c r="F10" s="9" t="s">
        <v>116</v>
      </c>
      <c r="G10" s="9" t="s">
        <v>116</v>
      </c>
      <c r="H10" s="425" t="s">
        <v>116</v>
      </c>
      <c r="I10" s="9" t="s">
        <v>116</v>
      </c>
      <c r="J10"/>
      <c r="K10" s="9" t="s">
        <v>116</v>
      </c>
    </row>
    <row r="11" spans="1:18" ht="15.6">
      <c r="A11" s="110" t="s">
        <v>272</v>
      </c>
      <c r="B11" s="18" t="s">
        <v>292</v>
      </c>
      <c r="C11" s="18" t="s">
        <v>249</v>
      </c>
      <c r="D11" s="18" t="s">
        <v>462</v>
      </c>
      <c r="E11" s="18" t="s">
        <v>109</v>
      </c>
      <c r="F11" s="18" t="s">
        <v>293</v>
      </c>
      <c r="G11" s="18" t="s">
        <v>567</v>
      </c>
      <c r="H11" s="18" t="s">
        <v>976</v>
      </c>
      <c r="I11" s="18" t="s">
        <v>568</v>
      </c>
      <c r="J11"/>
      <c r="K11" s="18" t="s">
        <v>103</v>
      </c>
      <c r="L11" s="205" t="s">
        <v>277</v>
      </c>
    </row>
    <row r="12" spans="1:18">
      <c r="A12" s="209">
        <v>42705</v>
      </c>
      <c r="B12" s="38">
        <v>2182620</v>
      </c>
      <c r="C12" s="560">
        <v>25374</v>
      </c>
      <c r="D12" s="38">
        <v>239500</v>
      </c>
      <c r="E12" s="38">
        <v>116848</v>
      </c>
      <c r="F12" s="38">
        <v>103436</v>
      </c>
      <c r="G12" s="38">
        <f>1284616+236250</f>
        <v>1520866</v>
      </c>
      <c r="H12" s="38">
        <f>324410+336856</f>
        <v>661266</v>
      </c>
      <c r="I12" s="38">
        <f>2032408+801550</f>
        <v>2833958</v>
      </c>
      <c r="J12"/>
      <c r="K12" s="37">
        <f>SUM(B12:J12)+SUM(B17:J17)</f>
        <v>7927599</v>
      </c>
      <c r="L12" s="9" t="s">
        <v>294</v>
      </c>
    </row>
    <row r="14" spans="1:18">
      <c r="B14" s="481" t="s">
        <v>113</v>
      </c>
    </row>
    <row r="15" spans="1:18">
      <c r="B15" s="481">
        <v>165001216</v>
      </c>
      <c r="C15" s="545">
        <v>16500035</v>
      </c>
      <c r="D15" s="545">
        <v>16500033</v>
      </c>
      <c r="E15" s="482">
        <v>1650032</v>
      </c>
      <c r="F15" s="482">
        <v>1650034</v>
      </c>
      <c r="H15" s="546"/>
    </row>
    <row r="16" spans="1:18">
      <c r="A16" s="110" t="s">
        <v>272</v>
      </c>
      <c r="B16" s="140" t="s">
        <v>991</v>
      </c>
      <c r="C16" s="140" t="s">
        <v>976</v>
      </c>
      <c r="D16" s="140" t="s">
        <v>1094</v>
      </c>
      <c r="E16" s="485" t="s">
        <v>992</v>
      </c>
      <c r="F16" s="485" t="s">
        <v>993</v>
      </c>
      <c r="H16" s="546"/>
    </row>
    <row r="17" spans="1:10">
      <c r="A17" s="209">
        <f>A12</f>
        <v>42705</v>
      </c>
      <c r="B17" s="38">
        <v>14613</v>
      </c>
      <c r="C17" s="547">
        <v>0</v>
      </c>
      <c r="D17" s="547">
        <v>0</v>
      </c>
      <c r="E17" s="547">
        <v>109502</v>
      </c>
      <c r="F17" s="547">
        <v>119616</v>
      </c>
      <c r="H17" s="38"/>
    </row>
    <row r="18" spans="1:10">
      <c r="C18" s="7" t="s">
        <v>113</v>
      </c>
    </row>
    <row r="21" spans="1:10">
      <c r="H21"/>
      <c r="I21"/>
      <c r="J21"/>
    </row>
    <row r="22" spans="1:10">
      <c r="B22" s="241" t="s">
        <v>690</v>
      </c>
      <c r="D22" s="241" t="s">
        <v>525</v>
      </c>
      <c r="E22" s="9"/>
      <c r="F22" s="241" t="s">
        <v>424</v>
      </c>
      <c r="G22" s="9"/>
      <c r="H22"/>
      <c r="I22"/>
      <c r="J22"/>
    </row>
    <row r="23" spans="1:10" ht="15.6">
      <c r="A23" s="110" t="s">
        <v>272</v>
      </c>
      <c r="B23" s="244" t="s">
        <v>941</v>
      </c>
      <c r="D23" s="244" t="s">
        <v>61</v>
      </c>
      <c r="E23" s="9"/>
      <c r="F23" s="244" t="s">
        <v>61</v>
      </c>
      <c r="G23" s="9"/>
      <c r="H23"/>
      <c r="I23"/>
      <c r="J23"/>
    </row>
    <row r="24" spans="1:10">
      <c r="A24" s="209">
        <f>A12</f>
        <v>42705</v>
      </c>
      <c r="B24" s="237">
        <f>H12+C17+D17+E17+F17</f>
        <v>890384</v>
      </c>
      <c r="D24" s="243">
        <f>+B12+C12+F12+G12+I12+J12+E12+B17</f>
        <v>6797715</v>
      </c>
      <c r="F24" s="243">
        <f>+D12</f>
        <v>239500</v>
      </c>
      <c r="H24"/>
      <c r="I24"/>
      <c r="J24"/>
    </row>
    <row r="25" spans="1:10">
      <c r="B25" s="236"/>
      <c r="C25"/>
      <c r="D25"/>
      <c r="E25"/>
      <c r="F25"/>
    </row>
    <row r="26" spans="1:10">
      <c r="B26" s="238"/>
      <c r="C26"/>
      <c r="D26"/>
      <c r="E26"/>
      <c r="F26"/>
    </row>
    <row r="30" spans="1:10">
      <c r="A30" s="193" t="s">
        <v>279</v>
      </c>
    </row>
    <row r="31" spans="1:10" ht="15.6">
      <c r="A31" s="194" t="s">
        <v>459</v>
      </c>
    </row>
    <row r="32" spans="1:10" ht="15.6">
      <c r="A32" s="194" t="s">
        <v>62</v>
      </c>
    </row>
    <row r="33" spans="1:1">
      <c r="A33" s="7" t="s">
        <v>499</v>
      </c>
    </row>
    <row r="34" spans="1:1">
      <c r="A34" s="7" t="s">
        <v>631</v>
      </c>
    </row>
    <row r="35" spans="1:1">
      <c r="A35" s="7" t="s">
        <v>500</v>
      </c>
    </row>
    <row r="36" spans="1:1">
      <c r="A36" s="7" t="s">
        <v>703</v>
      </c>
    </row>
    <row r="37" spans="1:1">
      <c r="A37" s="7" t="s">
        <v>501</v>
      </c>
    </row>
    <row r="38" spans="1:1">
      <c r="A38" s="7" t="s">
        <v>594</v>
      </c>
    </row>
    <row r="39" spans="1:1">
      <c r="A39" s="288" t="s">
        <v>595</v>
      </c>
    </row>
    <row r="40" spans="1:1">
      <c r="A40" s="138" t="s">
        <v>1180</v>
      </c>
    </row>
    <row r="41" spans="1:1">
      <c r="A41" s="138" t="s">
        <v>1181</v>
      </c>
    </row>
    <row r="42" spans="1:1">
      <c r="A42" s="138" t="s">
        <v>1095</v>
      </c>
    </row>
    <row r="43" spans="1:1">
      <c r="A43" s="138" t="s">
        <v>1106</v>
      </c>
    </row>
    <row r="44" spans="1:1">
      <c r="A44" s="138" t="s">
        <v>1107</v>
      </c>
    </row>
    <row r="45" spans="1:1">
      <c r="A45" s="424" t="s">
        <v>994</v>
      </c>
    </row>
  </sheetData>
  <mergeCells count="4">
    <mergeCell ref="A2:M2"/>
    <mergeCell ref="A4:M4"/>
    <mergeCell ref="A5:M5"/>
    <mergeCell ref="A3:M3"/>
  </mergeCells>
  <phoneticPr fontId="2" type="noConversion"/>
  <pageMargins left="0.5" right="0.5" top="0.5" bottom="0.5" header="0.5" footer="0.25"/>
  <pageSetup scale="42" orientation="portrait" r:id="rId1"/>
  <headerFooter alignWithMargins="0">
    <oddFooter>&amp;C&amp;A</oddFooter>
  </headerFooter>
  <colBreaks count="1" manualBreakCount="1">
    <brk id="13" max="3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3"/>
  <sheetViews>
    <sheetView showGridLines="0" view="pageBreakPreview" zoomScale="60" zoomScaleNormal="100" workbookViewId="0">
      <selection activeCell="I71" sqref="I71"/>
    </sheetView>
  </sheetViews>
  <sheetFormatPr defaultColWidth="11" defaultRowHeight="13.2"/>
  <cols>
    <col min="1" max="1" width="6.109375" style="189" customWidth="1"/>
    <col min="2" max="2" width="12.109375" style="45" customWidth="1"/>
    <col min="3" max="3" width="20.5546875" style="45" customWidth="1"/>
    <col min="4" max="4" width="11.5546875" style="45" customWidth="1"/>
    <col min="5" max="5" width="14.109375" style="45" customWidth="1"/>
    <col min="6" max="6" width="19" style="45" customWidth="1"/>
    <col min="7" max="7" width="22.109375" style="45" customWidth="1"/>
    <col min="8" max="8" width="10.6640625" style="45" customWidth="1"/>
    <col min="9" max="16384" width="11" style="45"/>
  </cols>
  <sheetData>
    <row r="1" spans="1:8">
      <c r="A1" s="189" t="s">
        <v>113</v>
      </c>
      <c r="G1" s="284" t="s">
        <v>113</v>
      </c>
    </row>
    <row r="2" spans="1:8">
      <c r="A2" s="697" t="s">
        <v>625</v>
      </c>
      <c r="B2" s="697"/>
      <c r="C2" s="697"/>
      <c r="D2" s="697"/>
      <c r="E2" s="697"/>
      <c r="F2" s="697"/>
      <c r="G2" s="697"/>
    </row>
    <row r="3" spans="1:8">
      <c r="A3" s="720" t="s">
        <v>614</v>
      </c>
      <c r="B3" s="694"/>
      <c r="C3" s="694"/>
      <c r="D3" s="694"/>
      <c r="E3" s="694"/>
      <c r="F3" s="694"/>
      <c r="G3" s="694"/>
      <c r="H3" s="295"/>
    </row>
    <row r="4" spans="1:8">
      <c r="A4" s="698" t="s">
        <v>615</v>
      </c>
      <c r="B4" s="698"/>
      <c r="C4" s="698"/>
      <c r="D4" s="698"/>
      <c r="E4" s="698"/>
      <c r="F4" s="698"/>
      <c r="G4" s="698"/>
    </row>
    <row r="5" spans="1:8">
      <c r="A5" s="717" t="s">
        <v>1175</v>
      </c>
      <c r="B5" s="718">
        <v>0</v>
      </c>
      <c r="C5" s="718">
        <v>0</v>
      </c>
      <c r="D5" s="718">
        <v>0</v>
      </c>
      <c r="E5" s="718">
        <v>0</v>
      </c>
      <c r="F5" s="718">
        <v>0</v>
      </c>
      <c r="G5" s="718">
        <v>0</v>
      </c>
    </row>
    <row r="6" spans="1:8">
      <c r="A6" s="106"/>
    </row>
    <row r="8" spans="1:8">
      <c r="A8" s="105" t="s">
        <v>129</v>
      </c>
      <c r="C8" s="712" t="s">
        <v>105</v>
      </c>
      <c r="D8" s="719"/>
      <c r="E8" s="719"/>
      <c r="F8" s="719"/>
      <c r="G8" s="713"/>
      <c r="H8" s="105"/>
    </row>
    <row r="9" spans="1:8">
      <c r="A9" s="105"/>
      <c r="C9" s="712" t="s">
        <v>103</v>
      </c>
      <c r="D9" s="713"/>
      <c r="E9" s="712" t="s">
        <v>295</v>
      </c>
      <c r="F9" s="713"/>
      <c r="G9" s="196"/>
      <c r="H9" s="105"/>
    </row>
    <row r="10" spans="1:8" ht="15.6">
      <c r="A10" s="192"/>
      <c r="B10" s="191" t="s">
        <v>108</v>
      </c>
      <c r="C10" s="46" t="s">
        <v>296</v>
      </c>
      <c r="D10" s="197" t="s">
        <v>299</v>
      </c>
      <c r="E10" s="46" t="s">
        <v>296</v>
      </c>
      <c r="F10" s="197" t="s">
        <v>299</v>
      </c>
      <c r="G10" s="304" t="s">
        <v>697</v>
      </c>
      <c r="H10" s="105"/>
    </row>
    <row r="11" spans="1:8">
      <c r="A11" s="105">
        <v>1</v>
      </c>
      <c r="B11" s="209">
        <v>42705</v>
      </c>
      <c r="C11" s="309">
        <v>6287399099</v>
      </c>
      <c r="D11" s="200" t="s">
        <v>444</v>
      </c>
      <c r="E11" s="47">
        <f>87461184+2764392</f>
        <v>90225576</v>
      </c>
      <c r="F11" s="200" t="s">
        <v>910</v>
      </c>
      <c r="G11" s="308">
        <f>+C11-E11</f>
        <v>6197173523</v>
      </c>
      <c r="H11" s="199"/>
    </row>
    <row r="12" spans="1:8">
      <c r="A12" s="105">
        <f>+A11+1</f>
        <v>2</v>
      </c>
      <c r="B12" s="190" t="s">
        <v>103</v>
      </c>
      <c r="C12" s="48"/>
      <c r="D12" s="48"/>
      <c r="E12" s="48"/>
      <c r="F12" s="48"/>
      <c r="G12" s="49">
        <f>+G11</f>
        <v>6197173523</v>
      </c>
      <c r="H12" s="48"/>
    </row>
    <row r="13" spans="1:8">
      <c r="A13" s="105"/>
      <c r="B13" s="201"/>
      <c r="C13" s="48"/>
      <c r="D13" s="48"/>
      <c r="E13" s="48"/>
      <c r="F13" s="48"/>
      <c r="G13" s="48"/>
      <c r="H13" s="48"/>
    </row>
    <row r="14" spans="1:8">
      <c r="A14" s="105"/>
      <c r="B14" s="201"/>
      <c r="C14" s="714" t="s">
        <v>110</v>
      </c>
      <c r="D14" s="715"/>
      <c r="E14" s="715"/>
      <c r="F14" s="715"/>
      <c r="G14" s="716"/>
      <c r="H14" s="48"/>
    </row>
    <row r="15" spans="1:8">
      <c r="C15" s="708" t="s">
        <v>103</v>
      </c>
      <c r="D15" s="709"/>
      <c r="E15" s="710" t="s">
        <v>295</v>
      </c>
      <c r="F15" s="711"/>
      <c r="G15" s="196"/>
      <c r="H15" s="48"/>
    </row>
    <row r="16" spans="1:8" ht="15.6">
      <c r="C16" s="46" t="s">
        <v>296</v>
      </c>
      <c r="D16" s="197" t="s">
        <v>299</v>
      </c>
      <c r="E16" s="46" t="s">
        <v>296</v>
      </c>
      <c r="F16" s="197" t="s">
        <v>299</v>
      </c>
      <c r="G16" s="198" t="s">
        <v>298</v>
      </c>
    </row>
    <row r="17" spans="1:7">
      <c r="A17" s="189">
        <f>+A12+1</f>
        <v>3</v>
      </c>
      <c r="B17" s="209">
        <f>B11</f>
        <v>42705</v>
      </c>
      <c r="C17" s="55">
        <v>2795292451</v>
      </c>
      <c r="D17" s="83" t="s">
        <v>445</v>
      </c>
      <c r="E17" s="55">
        <v>0</v>
      </c>
      <c r="F17" s="84" t="s">
        <v>446</v>
      </c>
      <c r="G17" s="308">
        <f>+C17-E17</f>
        <v>2795292451</v>
      </c>
    </row>
    <row r="18" spans="1:7">
      <c r="A18" s="189">
        <f>+A17+1</f>
        <v>4</v>
      </c>
      <c r="B18" s="190" t="s">
        <v>103</v>
      </c>
      <c r="C18" s="54"/>
      <c r="D18" s="51"/>
      <c r="E18" s="54"/>
      <c r="F18" s="51"/>
      <c r="G18" s="50">
        <f>+G17</f>
        <v>2795292451</v>
      </c>
    </row>
    <row r="19" spans="1:7" ht="12" customHeight="1"/>
    <row r="20" spans="1:7" ht="12" customHeight="1">
      <c r="C20" s="705" t="s">
        <v>111</v>
      </c>
      <c r="D20" s="706"/>
      <c r="E20" s="706"/>
      <c r="F20" s="706"/>
      <c r="G20" s="707"/>
    </row>
    <row r="21" spans="1:7" ht="12" customHeight="1">
      <c r="C21" s="708" t="s">
        <v>103</v>
      </c>
      <c r="D21" s="709"/>
      <c r="E21" s="710" t="s">
        <v>295</v>
      </c>
      <c r="F21" s="711"/>
      <c r="G21" s="196"/>
    </row>
    <row r="22" spans="1:7" ht="12" customHeight="1">
      <c r="C22" s="46" t="s">
        <v>296</v>
      </c>
      <c r="D22" s="197" t="s">
        <v>299</v>
      </c>
      <c r="E22" s="46" t="s">
        <v>296</v>
      </c>
      <c r="F22" s="197" t="s">
        <v>299</v>
      </c>
      <c r="G22" s="198" t="s">
        <v>298</v>
      </c>
    </row>
    <row r="23" spans="1:7" ht="12" customHeight="1">
      <c r="A23" s="189">
        <f>+A18+1</f>
        <v>5</v>
      </c>
      <c r="B23" s="209">
        <f>B11</f>
        <v>42705</v>
      </c>
      <c r="C23" s="55">
        <v>3566941043</v>
      </c>
      <c r="D23" s="84" t="s">
        <v>447</v>
      </c>
      <c r="E23" s="55">
        <v>3069</v>
      </c>
      <c r="F23" s="84" t="s">
        <v>448</v>
      </c>
      <c r="G23" s="308">
        <f>+C23-E23</f>
        <v>3566937974</v>
      </c>
    </row>
    <row r="24" spans="1:7" ht="12" customHeight="1">
      <c r="A24" s="189">
        <f>+A23+1</f>
        <v>6</v>
      </c>
      <c r="B24" s="190" t="s">
        <v>103</v>
      </c>
      <c r="C24" s="51"/>
      <c r="D24" s="51"/>
      <c r="G24" s="52">
        <f>+G23</f>
        <v>3566937974</v>
      </c>
    </row>
    <row r="25" spans="1:7" ht="12" customHeight="1">
      <c r="C25" s="54"/>
      <c r="D25" s="51"/>
    </row>
    <row r="26" spans="1:7">
      <c r="C26" s="705" t="s">
        <v>131</v>
      </c>
      <c r="D26" s="706"/>
      <c r="E26" s="706"/>
      <c r="F26" s="706"/>
      <c r="G26" s="707"/>
    </row>
    <row r="27" spans="1:7">
      <c r="C27" s="708" t="s">
        <v>103</v>
      </c>
      <c r="D27" s="709"/>
      <c r="E27" s="708" t="s">
        <v>295</v>
      </c>
      <c r="F27" s="709"/>
      <c r="G27" s="53"/>
    </row>
    <row r="28" spans="1:7" ht="15.6">
      <c r="C28" s="46" t="s">
        <v>296</v>
      </c>
      <c r="D28" s="202" t="s">
        <v>299</v>
      </c>
      <c r="E28" s="46" t="s">
        <v>296</v>
      </c>
      <c r="F28" s="202" t="s">
        <v>299</v>
      </c>
      <c r="G28" s="198" t="s">
        <v>298</v>
      </c>
    </row>
    <row r="29" spans="1:7">
      <c r="A29" s="189">
        <f>+A24+1</f>
        <v>7</v>
      </c>
      <c r="B29" s="209">
        <f>B11</f>
        <v>42705</v>
      </c>
      <c r="C29" s="55">
        <v>221448904</v>
      </c>
      <c r="D29" s="83" t="s">
        <v>449</v>
      </c>
      <c r="E29" s="55">
        <v>781258</v>
      </c>
      <c r="F29" s="84" t="s">
        <v>450</v>
      </c>
      <c r="G29" s="308">
        <f>+C29-E29</f>
        <v>220667646</v>
      </c>
    </row>
    <row r="30" spans="1:7">
      <c r="A30" s="189">
        <f>+A29+1</f>
        <v>8</v>
      </c>
      <c r="B30" s="190" t="s">
        <v>103</v>
      </c>
      <c r="G30" s="50">
        <f>+G29</f>
        <v>220667646</v>
      </c>
    </row>
    <row r="31" spans="1:7">
      <c r="B31" s="201"/>
      <c r="G31" s="54"/>
    </row>
    <row r="32" spans="1:7">
      <c r="C32" s="705" t="s">
        <v>118</v>
      </c>
      <c r="D32" s="706"/>
      <c r="E32" s="706"/>
      <c r="F32" s="706"/>
      <c r="G32" s="707"/>
    </row>
    <row r="33" spans="1:10">
      <c r="C33" s="708" t="s">
        <v>103</v>
      </c>
      <c r="D33" s="709"/>
      <c r="E33" s="708" t="s">
        <v>295</v>
      </c>
      <c r="F33" s="709"/>
      <c r="G33" s="53"/>
    </row>
    <row r="34" spans="1:10" ht="15.6">
      <c r="C34" s="46" t="s">
        <v>296</v>
      </c>
      <c r="D34" s="197" t="s">
        <v>299</v>
      </c>
      <c r="E34" s="46" t="s">
        <v>296</v>
      </c>
      <c r="F34" s="202" t="s">
        <v>299</v>
      </c>
      <c r="G34" s="198" t="s">
        <v>298</v>
      </c>
    </row>
    <row r="35" spans="1:10">
      <c r="A35" s="189">
        <f>+A30+1</f>
        <v>9</v>
      </c>
      <c r="B35" s="209">
        <f>B11</f>
        <v>42705</v>
      </c>
      <c r="C35" s="55">
        <v>105361383</v>
      </c>
      <c r="D35" s="83" t="s">
        <v>451</v>
      </c>
      <c r="E35" s="56">
        <v>0</v>
      </c>
      <c r="F35" s="83" t="s">
        <v>278</v>
      </c>
      <c r="G35" s="308">
        <f>+C35-E35</f>
        <v>105361383</v>
      </c>
    </row>
    <row r="36" spans="1:10">
      <c r="A36" s="189">
        <f>+A35+1</f>
        <v>10</v>
      </c>
      <c r="B36" s="190" t="s">
        <v>103</v>
      </c>
      <c r="C36" s="51"/>
      <c r="D36" s="51"/>
      <c r="G36" s="52">
        <f>+G35</f>
        <v>105361383</v>
      </c>
    </row>
    <row r="38" spans="1:10">
      <c r="A38" s="189">
        <f>+A36+1</f>
        <v>11</v>
      </c>
      <c r="B38" s="393" t="s">
        <v>1182</v>
      </c>
      <c r="G38" s="239">
        <f>+G12+G18+G24+G30+G36</f>
        <v>12885432977</v>
      </c>
    </row>
    <row r="40" spans="1:10">
      <c r="A40" s="203" t="s">
        <v>279</v>
      </c>
    </row>
    <row r="41" spans="1:10" ht="15.6">
      <c r="A41" s="204" t="s">
        <v>551</v>
      </c>
    </row>
    <row r="42" spans="1:10" ht="15.6">
      <c r="A42" s="204" t="s">
        <v>358</v>
      </c>
    </row>
    <row r="43" spans="1:10" ht="15.6">
      <c r="A43" s="291" t="s">
        <v>63</v>
      </c>
      <c r="B43"/>
      <c r="C43"/>
      <c r="D43"/>
      <c r="E43"/>
      <c r="F43"/>
      <c r="G43"/>
      <c r="H43"/>
    </row>
    <row r="44" spans="1:10">
      <c r="A44"/>
      <c r="B44"/>
      <c r="C44"/>
      <c r="D44"/>
      <c r="E44"/>
      <c r="F44"/>
      <c r="G44"/>
      <c r="H44"/>
      <c r="I44"/>
      <c r="J44"/>
    </row>
    <row r="45" spans="1:10">
      <c r="A45"/>
      <c r="B45"/>
      <c r="C45"/>
      <c r="D45"/>
      <c r="E45"/>
      <c r="F45"/>
      <c r="G45"/>
      <c r="H45"/>
      <c r="I45"/>
      <c r="J45"/>
    </row>
    <row r="46" spans="1:10">
      <c r="B46"/>
      <c r="C46"/>
      <c r="D46"/>
      <c r="E46"/>
      <c r="F46"/>
      <c r="G46"/>
      <c r="H46"/>
      <c r="I46"/>
      <c r="J46"/>
    </row>
    <row r="47" spans="1:10">
      <c r="G47"/>
      <c r="H47"/>
      <c r="I47"/>
      <c r="J47"/>
    </row>
    <row r="48" spans="1:10">
      <c r="A48" s="290"/>
      <c r="G48"/>
      <c r="H48"/>
      <c r="I48"/>
      <c r="J48"/>
    </row>
    <row r="49" spans="1:10">
      <c r="A49"/>
      <c r="B49"/>
      <c r="C49"/>
      <c r="D49"/>
      <c r="E49"/>
      <c r="F49"/>
      <c r="G49"/>
      <c r="H49"/>
      <c r="I49"/>
      <c r="J49"/>
    </row>
    <row r="50" spans="1:10">
      <c r="A50"/>
      <c r="B50"/>
      <c r="C50"/>
      <c r="D50"/>
      <c r="E50"/>
      <c r="F50"/>
      <c r="G50"/>
      <c r="H50"/>
      <c r="I50"/>
      <c r="J50"/>
    </row>
    <row r="51" spans="1:10">
      <c r="A51"/>
      <c r="B51"/>
      <c r="C51"/>
      <c r="D51"/>
      <c r="E51"/>
      <c r="F51"/>
      <c r="G51"/>
      <c r="H51"/>
      <c r="I51"/>
      <c r="J51"/>
    </row>
    <row r="52" spans="1:10">
      <c r="A52"/>
      <c r="B52"/>
      <c r="C52"/>
      <c r="D52"/>
      <c r="E52"/>
      <c r="F52"/>
      <c r="G52"/>
      <c r="H52"/>
      <c r="I52"/>
      <c r="J52"/>
    </row>
    <row r="53" spans="1:10">
      <c r="A53"/>
      <c r="B53"/>
      <c r="C53"/>
      <c r="D53"/>
      <c r="E53"/>
      <c r="F53"/>
      <c r="G53"/>
      <c r="H53"/>
      <c r="I53"/>
      <c r="J53"/>
    </row>
    <row r="54" spans="1:10">
      <c r="A54"/>
      <c r="B54"/>
      <c r="C54"/>
      <c r="D54"/>
      <c r="E54"/>
      <c r="F54"/>
      <c r="G54"/>
      <c r="H54"/>
      <c r="I54"/>
      <c r="J54"/>
    </row>
    <row r="55" spans="1:10">
      <c r="A55" s="290"/>
      <c r="B55"/>
      <c r="C55"/>
      <c r="D55"/>
      <c r="E55"/>
      <c r="F55"/>
      <c r="G55"/>
      <c r="H55"/>
      <c r="I55"/>
      <c r="J55"/>
    </row>
    <row r="56" spans="1:10">
      <c r="A56"/>
      <c r="B56"/>
      <c r="C56"/>
      <c r="D56"/>
      <c r="E56"/>
      <c r="F56"/>
      <c r="G56"/>
      <c r="H56"/>
      <c r="I56"/>
      <c r="J56"/>
    </row>
    <row r="57" spans="1:10">
      <c r="A57"/>
      <c r="B57"/>
      <c r="C57"/>
      <c r="D57"/>
      <c r="E57"/>
      <c r="F57"/>
      <c r="G57"/>
      <c r="H57"/>
      <c r="I57"/>
      <c r="J57"/>
    </row>
    <row r="58" spans="1:10">
      <c r="A58"/>
      <c r="B58"/>
      <c r="C58"/>
      <c r="D58"/>
      <c r="E58"/>
      <c r="F58"/>
      <c r="G58"/>
      <c r="H58"/>
      <c r="I58"/>
      <c r="J58"/>
    </row>
    <row r="59" spans="1:10">
      <c r="A59"/>
      <c r="B59"/>
      <c r="C59"/>
      <c r="D59"/>
      <c r="E59"/>
      <c r="F59"/>
      <c r="G59"/>
      <c r="H59"/>
      <c r="I59"/>
      <c r="J59"/>
    </row>
    <row r="60" spans="1:10">
      <c r="A60"/>
      <c r="B60"/>
      <c r="C60"/>
      <c r="D60"/>
      <c r="E60"/>
      <c r="F60"/>
      <c r="G60"/>
      <c r="H60"/>
      <c r="I60"/>
      <c r="J60"/>
    </row>
    <row r="61" spans="1:10">
      <c r="A61"/>
      <c r="B61"/>
      <c r="C61"/>
      <c r="D61"/>
      <c r="E61"/>
      <c r="F61"/>
    </row>
    <row r="62" spans="1:10">
      <c r="A62"/>
      <c r="B62"/>
      <c r="C62"/>
      <c r="D62"/>
      <c r="E62"/>
      <c r="F62"/>
    </row>
    <row r="63" spans="1:10">
      <c r="A63" s="292"/>
    </row>
  </sheetData>
  <mergeCells count="19">
    <mergeCell ref="A2:G2"/>
    <mergeCell ref="A4:G4"/>
    <mergeCell ref="A5:G5"/>
    <mergeCell ref="C8:G8"/>
    <mergeCell ref="A3:G3"/>
    <mergeCell ref="C9:D9"/>
    <mergeCell ref="E9:F9"/>
    <mergeCell ref="C14:G14"/>
    <mergeCell ref="C15:D15"/>
    <mergeCell ref="E15:F15"/>
    <mergeCell ref="C32:G32"/>
    <mergeCell ref="C33:D33"/>
    <mergeCell ref="E33:F33"/>
    <mergeCell ref="C20:G20"/>
    <mergeCell ref="C21:D21"/>
    <mergeCell ref="E21:F21"/>
    <mergeCell ref="C26:G26"/>
    <mergeCell ref="C27:D27"/>
    <mergeCell ref="E27:F27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J29"/>
  <sheetViews>
    <sheetView showGridLines="0" zoomScaleNormal="100" workbookViewId="0">
      <selection activeCell="D18" sqref="D18:D20"/>
    </sheetView>
  </sheetViews>
  <sheetFormatPr defaultColWidth="10.33203125" defaultRowHeight="13.2"/>
  <cols>
    <col min="1" max="1" width="4.88671875" style="45" bestFit="1" customWidth="1"/>
    <col min="2" max="2" width="40.6640625" style="45" customWidth="1"/>
    <col min="3" max="3" width="22.88671875" style="45" bestFit="1" customWidth="1"/>
    <col min="4" max="4" width="23.6640625" style="45" customWidth="1"/>
    <col min="5" max="5" width="22" style="45" customWidth="1"/>
    <col min="6" max="6" width="21.6640625" style="45" customWidth="1"/>
    <col min="7" max="7" width="16.5546875" style="45" bestFit="1" customWidth="1"/>
    <col min="8" max="8" width="19.109375" style="45" customWidth="1"/>
    <col min="9" max="9" width="19" style="45" bestFit="1" customWidth="1"/>
    <col min="10" max="16384" width="10.33203125" style="45"/>
  </cols>
  <sheetData>
    <row r="1" spans="1:10">
      <c r="A1" s="672"/>
      <c r="B1" s="672"/>
      <c r="C1" s="672"/>
      <c r="D1" s="672"/>
      <c r="E1" s="672"/>
      <c r="F1" s="672"/>
      <c r="G1" s="672"/>
      <c r="H1" s="657" t="s">
        <v>113</v>
      </c>
      <c r="I1" s="672"/>
    </row>
    <row r="2" spans="1:10">
      <c r="A2" s="672"/>
      <c r="B2" s="721" t="s">
        <v>632</v>
      </c>
      <c r="C2" s="721"/>
      <c r="D2" s="721"/>
      <c r="E2" s="721"/>
      <c r="F2" s="721"/>
      <c r="G2" s="721"/>
      <c r="H2" s="721"/>
      <c r="I2" s="687"/>
    </row>
    <row r="3" spans="1:10">
      <c r="A3" s="672"/>
      <c r="B3" s="724" t="s">
        <v>614</v>
      </c>
      <c r="C3" s="725"/>
      <c r="D3" s="725"/>
      <c r="E3" s="725"/>
      <c r="F3" s="725"/>
      <c r="G3" s="725"/>
      <c r="H3" s="725"/>
      <c r="I3" s="725"/>
      <c r="J3" s="295"/>
    </row>
    <row r="4" spans="1:10">
      <c r="A4" s="672"/>
      <c r="B4" s="722" t="s">
        <v>616</v>
      </c>
      <c r="C4" s="722"/>
      <c r="D4" s="722"/>
      <c r="E4" s="722"/>
      <c r="F4" s="722"/>
      <c r="G4" s="722"/>
      <c r="H4" s="722"/>
      <c r="I4" s="687"/>
    </row>
    <row r="5" spans="1:10">
      <c r="A5" s="672"/>
      <c r="B5" s="723" t="s">
        <v>1176</v>
      </c>
      <c r="C5" s="723">
        <v>0</v>
      </c>
      <c r="D5" s="723">
        <v>0</v>
      </c>
      <c r="E5" s="723">
        <v>0</v>
      </c>
      <c r="F5" s="723">
        <v>0</v>
      </c>
      <c r="G5" s="723">
        <v>0</v>
      </c>
      <c r="H5" s="723">
        <v>0</v>
      </c>
      <c r="I5" s="687"/>
    </row>
    <row r="6" spans="1:10">
      <c r="A6" s="672"/>
      <c r="B6" s="673"/>
      <c r="C6" s="673"/>
      <c r="D6" s="673"/>
      <c r="E6" s="673"/>
      <c r="F6" s="673"/>
      <c r="G6" s="673"/>
      <c r="H6" s="673"/>
      <c r="I6" s="672"/>
    </row>
    <row r="7" spans="1:10">
      <c r="A7" s="672"/>
      <c r="B7" s="674"/>
      <c r="C7" s="675"/>
      <c r="D7" s="676"/>
      <c r="E7" s="676"/>
      <c r="F7" s="677"/>
      <c r="G7" s="676"/>
      <c r="H7" s="676"/>
      <c r="I7" s="654"/>
    </row>
    <row r="8" spans="1:10" ht="13.8">
      <c r="A8" s="678" t="s">
        <v>129</v>
      </c>
      <c r="B8" s="679"/>
      <c r="C8" s="654" t="s">
        <v>1164</v>
      </c>
      <c r="D8" s="680" t="s">
        <v>1165</v>
      </c>
      <c r="E8" s="680" t="s">
        <v>105</v>
      </c>
      <c r="F8" s="680" t="s">
        <v>110</v>
      </c>
      <c r="G8" s="680" t="s">
        <v>111</v>
      </c>
      <c r="H8" s="680" t="s">
        <v>131</v>
      </c>
      <c r="I8" s="654"/>
    </row>
    <row r="9" spans="1:10" ht="13.8">
      <c r="A9" s="679">
        <v>1</v>
      </c>
      <c r="B9" s="679"/>
      <c r="C9" s="655">
        <v>1080005</v>
      </c>
      <c r="D9" s="681">
        <f>SUM(E9:H9)</f>
        <v>53081177.32</v>
      </c>
      <c r="E9" s="681">
        <v>18345717.780000001</v>
      </c>
      <c r="F9" s="681">
        <v>28017607.66</v>
      </c>
      <c r="G9" s="681">
        <v>6332871.54</v>
      </c>
      <c r="H9" s="681">
        <v>384980.34</v>
      </c>
      <c r="I9" s="654"/>
    </row>
    <row r="10" spans="1:10" ht="13.8">
      <c r="A10" s="679">
        <v>2</v>
      </c>
      <c r="B10" s="679"/>
      <c r="C10" s="655" t="s">
        <v>526</v>
      </c>
      <c r="D10" s="681">
        <f t="shared" ref="D10:D13" si="0">SUM(E10:H10)</f>
        <v>-30136131.66</v>
      </c>
      <c r="E10" s="681">
        <v>-29499535.170000002</v>
      </c>
      <c r="F10" s="681">
        <v>0</v>
      </c>
      <c r="G10" s="681">
        <v>-1791.68</v>
      </c>
      <c r="H10" s="681">
        <v>-634804.81000000006</v>
      </c>
      <c r="I10" s="654"/>
    </row>
    <row r="11" spans="1:10" ht="13.8">
      <c r="A11" s="679">
        <v>3</v>
      </c>
      <c r="B11" s="679"/>
      <c r="C11" s="655" t="s">
        <v>588</v>
      </c>
      <c r="D11" s="681">
        <f t="shared" si="0"/>
        <v>-4191279041.4200001</v>
      </c>
      <c r="E11" s="681">
        <v>-2173751929.5500002</v>
      </c>
      <c r="F11" s="681">
        <v>-737999165.11000001</v>
      </c>
      <c r="G11" s="681">
        <v>-1205054465.72</v>
      </c>
      <c r="H11" s="681">
        <v>-74473481.040000007</v>
      </c>
      <c r="I11" s="654"/>
    </row>
    <row r="12" spans="1:10" ht="13.8">
      <c r="A12" s="679">
        <v>4</v>
      </c>
      <c r="B12" s="679"/>
      <c r="C12" s="655">
        <v>1110001</v>
      </c>
      <c r="D12" s="681">
        <f t="shared" si="0"/>
        <v>-61802515.359999999</v>
      </c>
      <c r="E12" s="681"/>
      <c r="F12" s="681"/>
      <c r="G12" s="681"/>
      <c r="H12" s="681">
        <v>-61802515.359999999</v>
      </c>
      <c r="I12" s="654"/>
    </row>
    <row r="13" spans="1:10" ht="13.8">
      <c r="A13" s="679">
        <v>5</v>
      </c>
      <c r="B13" s="679"/>
      <c r="C13" s="655">
        <v>1080013</v>
      </c>
      <c r="D13" s="681">
        <f t="shared" si="0"/>
        <v>0</v>
      </c>
      <c r="E13" s="681">
        <v>0</v>
      </c>
      <c r="F13" s="681">
        <v>0</v>
      </c>
      <c r="G13" s="681">
        <v>0</v>
      </c>
      <c r="H13" s="681">
        <v>0</v>
      </c>
      <c r="I13" s="654"/>
    </row>
    <row r="14" spans="1:10" ht="14.4" thickBot="1">
      <c r="A14" s="679">
        <v>6</v>
      </c>
      <c r="B14" s="679" t="s">
        <v>1166</v>
      </c>
      <c r="C14" s="682" t="s">
        <v>1167</v>
      </c>
      <c r="D14" s="683">
        <f>SUM(D9:D13)</f>
        <v>-4230136511.1200004</v>
      </c>
      <c r="E14" s="683">
        <f>SUM(E9:E13)</f>
        <v>-2184905746.9400001</v>
      </c>
      <c r="F14" s="683">
        <f>SUM(F9:F13)</f>
        <v>-709981557.45000005</v>
      </c>
      <c r="G14" s="683">
        <f>SUM(G9:G13)</f>
        <v>-1198723385.8600001</v>
      </c>
      <c r="H14" s="683">
        <f>SUM(H9:H13)</f>
        <v>-136525820.87</v>
      </c>
      <c r="I14" s="654"/>
    </row>
    <row r="15" spans="1:10" ht="14.4" thickTop="1">
      <c r="A15" s="679"/>
      <c r="B15" s="679"/>
      <c r="C15" s="654"/>
      <c r="D15" s="681"/>
      <c r="E15" s="681"/>
      <c r="F15" s="681"/>
      <c r="G15" s="681"/>
      <c r="H15" s="681"/>
      <c r="I15" s="654"/>
    </row>
    <row r="16" spans="1:10" ht="13.8">
      <c r="A16" s="679">
        <v>7</v>
      </c>
      <c r="B16" s="679" t="s">
        <v>1168</v>
      </c>
      <c r="C16" s="655" t="s">
        <v>1169</v>
      </c>
      <c r="D16" s="681">
        <f>+D14-D10</f>
        <v>-4200000379.4600005</v>
      </c>
      <c r="E16" s="681">
        <f>+E14-E10</f>
        <v>-2155406211.77</v>
      </c>
      <c r="F16" s="681">
        <f>+F14-F10</f>
        <v>-709981557.45000005</v>
      </c>
      <c r="G16" s="681">
        <f>+G14-G10</f>
        <v>-1198721594.1800001</v>
      </c>
      <c r="H16" s="681">
        <f>+H14-H10</f>
        <v>-135891016.06</v>
      </c>
      <c r="I16" s="654"/>
    </row>
    <row r="17" spans="1:9" ht="13.8">
      <c r="A17" s="679"/>
      <c r="B17" s="679"/>
      <c r="C17" s="655"/>
      <c r="D17" s="681"/>
      <c r="E17" s="681"/>
      <c r="F17" s="681"/>
      <c r="G17" s="681"/>
      <c r="H17" s="681"/>
      <c r="I17" s="654"/>
    </row>
    <row r="18" spans="1:9" ht="13.8">
      <c r="A18" s="679">
        <v>8</v>
      </c>
      <c r="B18" s="679" t="s">
        <v>1170</v>
      </c>
      <c r="C18" s="655" t="s">
        <v>1171</v>
      </c>
      <c r="D18" s="681">
        <f>+D14-D12</f>
        <v>-4168333995.7600002</v>
      </c>
      <c r="E18" s="681">
        <f>+E14-E12</f>
        <v>-2184905746.9400001</v>
      </c>
      <c r="F18" s="681">
        <f>+F14-F12</f>
        <v>-709981557.45000005</v>
      </c>
      <c r="G18" s="681">
        <f>+G14-G12</f>
        <v>-1198723385.8600001</v>
      </c>
      <c r="H18" s="681">
        <f>+H14-H12</f>
        <v>-74723305.510000005</v>
      </c>
      <c r="I18" s="676"/>
    </row>
    <row r="19" spans="1:9" ht="13.8">
      <c r="A19" s="679"/>
      <c r="B19" s="679"/>
      <c r="C19" s="654"/>
      <c r="D19" s="681"/>
      <c r="E19" s="681"/>
      <c r="F19" s="681"/>
      <c r="G19" s="681"/>
      <c r="H19" s="681"/>
      <c r="I19" s="676"/>
    </row>
    <row r="20" spans="1:9" ht="13.8">
      <c r="A20" s="679">
        <v>9</v>
      </c>
      <c r="B20" s="679" t="s">
        <v>1172</v>
      </c>
      <c r="C20" s="654"/>
      <c r="D20" s="681">
        <f>+D12</f>
        <v>-61802515.359999999</v>
      </c>
      <c r="E20" s="681"/>
      <c r="F20" s="681"/>
      <c r="G20" s="681"/>
      <c r="H20" s="681"/>
      <c r="I20" s="676"/>
    </row>
    <row r="21" spans="1:9" ht="13.8">
      <c r="A21" s="679">
        <v>10</v>
      </c>
      <c r="B21" s="684" t="s">
        <v>1173</v>
      </c>
      <c r="C21" s="654"/>
      <c r="D21" s="681">
        <f>+D18+D20</f>
        <v>-4230136511.1200004</v>
      </c>
      <c r="E21" s="681"/>
      <c r="F21" s="681"/>
      <c r="G21" s="681"/>
      <c r="H21" s="681"/>
      <c r="I21" s="676"/>
    </row>
    <row r="22" spans="1:9">
      <c r="A22" s="672"/>
      <c r="B22" s="672"/>
      <c r="C22" s="685"/>
      <c r="D22" s="672"/>
      <c r="E22" s="672"/>
      <c r="F22" s="672"/>
      <c r="G22" s="672"/>
      <c r="H22" s="672"/>
      <c r="I22" s="672"/>
    </row>
    <row r="23" spans="1:9">
      <c r="A23" s="672"/>
      <c r="B23" s="672" t="s">
        <v>113</v>
      </c>
      <c r="C23" s="672"/>
      <c r="D23" s="686"/>
      <c r="E23" s="686"/>
      <c r="F23" s="686"/>
      <c r="G23" s="686"/>
      <c r="H23" s="686"/>
      <c r="I23" s="686"/>
    </row>
    <row r="24" spans="1:9">
      <c r="A24" s="672"/>
      <c r="B24" s="672"/>
      <c r="C24" s="672"/>
      <c r="D24" s="672"/>
      <c r="E24" s="672"/>
      <c r="F24" s="672"/>
      <c r="G24" s="672"/>
      <c r="H24" s="672"/>
      <c r="I24" s="672"/>
    </row>
    <row r="25" spans="1:9">
      <c r="A25" s="672"/>
      <c r="B25" s="672"/>
      <c r="C25" s="672"/>
      <c r="D25" s="672"/>
      <c r="E25" s="672"/>
      <c r="F25" s="672"/>
      <c r="G25" s="672"/>
      <c r="H25" s="672"/>
      <c r="I25" s="672"/>
    </row>
    <row r="26" spans="1:9">
      <c r="A26" s="672"/>
      <c r="B26" s="573" t="s">
        <v>279</v>
      </c>
      <c r="C26" s="672"/>
      <c r="D26" s="672"/>
      <c r="E26" s="672"/>
      <c r="F26" s="672"/>
      <c r="G26" s="672"/>
      <c r="H26" s="672"/>
      <c r="I26" s="672"/>
    </row>
    <row r="27" spans="1:9" ht="15.6">
      <c r="A27" s="672"/>
      <c r="B27" s="574" t="s">
        <v>755</v>
      </c>
      <c r="C27" s="672"/>
      <c r="D27" s="672"/>
      <c r="E27" s="672"/>
      <c r="F27" s="672"/>
      <c r="G27" s="672"/>
      <c r="H27" s="672"/>
      <c r="I27" s="672"/>
    </row>
    <row r="28" spans="1:9" ht="15.6">
      <c r="A28" s="672"/>
      <c r="B28" s="671" t="s">
        <v>756</v>
      </c>
      <c r="C28" s="672"/>
      <c r="D28" s="672"/>
      <c r="E28" s="672"/>
      <c r="F28" s="672"/>
      <c r="G28" s="672"/>
      <c r="H28" s="672"/>
      <c r="I28" s="672"/>
    </row>
    <row r="29" spans="1:9" ht="15.6">
      <c r="A29" s="672"/>
      <c r="B29" s="671" t="s">
        <v>757</v>
      </c>
      <c r="C29" s="672"/>
      <c r="D29" s="672"/>
      <c r="E29" s="672"/>
      <c r="F29" s="672"/>
      <c r="G29" s="672"/>
      <c r="H29" s="672"/>
      <c r="I29" s="672"/>
    </row>
  </sheetData>
  <mergeCells count="4">
    <mergeCell ref="B2:I2"/>
    <mergeCell ref="B4:I4"/>
    <mergeCell ref="B5:I5"/>
    <mergeCell ref="B3:I3"/>
  </mergeCells>
  <phoneticPr fontId="2" type="noConversion"/>
  <pageMargins left="0.5" right="0.5" top="0.5" bottom="0.5" header="0.5" footer="0.25"/>
  <pageSetup scale="50" orientation="portrait" r:id="rId1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34</vt:i4>
      </vt:variant>
    </vt:vector>
  </HeadingPairs>
  <TitlesOfParts>
    <vt:vector size="67" baseType="lpstr">
      <vt:lpstr>WP-1</vt:lpstr>
      <vt:lpstr>WP-2</vt:lpstr>
      <vt:lpstr>WP-3</vt:lpstr>
      <vt:lpstr>WP-4</vt:lpstr>
      <vt:lpstr>WP-5a</vt:lpstr>
      <vt:lpstr>WP-5b</vt:lpstr>
      <vt:lpstr>WP-5c</vt:lpstr>
      <vt:lpstr>WP-6a</vt:lpstr>
      <vt:lpstr>WP-6b</vt:lpstr>
      <vt:lpstr>WP-6c</vt:lpstr>
      <vt:lpstr>WP-6d</vt:lpstr>
      <vt:lpstr>WP-7</vt:lpstr>
      <vt:lpstr>WP-8a</vt:lpstr>
      <vt:lpstr>WP-8ai</vt:lpstr>
      <vt:lpstr>WP-8b</vt:lpstr>
      <vt:lpstr>WP-8c</vt:lpstr>
      <vt:lpstr>WP-9a</vt:lpstr>
      <vt:lpstr>WP-9b</vt:lpstr>
      <vt:lpstr>WP-10a</vt:lpstr>
      <vt:lpstr>WP-11</vt:lpstr>
      <vt:lpstr>WP-12a</vt:lpstr>
      <vt:lpstr>WP-12b</vt:lpstr>
      <vt:lpstr>WP-13</vt:lpstr>
      <vt:lpstr>WP-13a</vt:lpstr>
      <vt:lpstr>WP-14</vt:lpstr>
      <vt:lpstr>WP-15a</vt:lpstr>
      <vt:lpstr>WP-15B</vt:lpstr>
      <vt:lpstr>WP-15c</vt:lpstr>
      <vt:lpstr>WP-15d</vt:lpstr>
      <vt:lpstr>WP-16</vt:lpstr>
      <vt:lpstr>WP-17</vt:lpstr>
      <vt:lpstr>WP-18</vt:lpstr>
      <vt:lpstr>WP-19</vt:lpstr>
      <vt:lpstr>HEADA</vt:lpstr>
      <vt:lpstr>'WP-8ai'!HEADB</vt:lpstr>
      <vt:lpstr>'WP-1'!Print_Area</vt:lpstr>
      <vt:lpstr>'WP-11'!Print_Area</vt:lpstr>
      <vt:lpstr>'WP-12b'!Print_Area</vt:lpstr>
      <vt:lpstr>'WP-13'!Print_Area</vt:lpstr>
      <vt:lpstr>'WP-13a'!Print_Area</vt:lpstr>
      <vt:lpstr>'WP-14'!Print_Area</vt:lpstr>
      <vt:lpstr>'WP-15a'!Print_Area</vt:lpstr>
      <vt:lpstr>'WP-15c'!Print_Area</vt:lpstr>
      <vt:lpstr>'WP-15d'!Print_Area</vt:lpstr>
      <vt:lpstr>'WP-16'!Print_Area</vt:lpstr>
      <vt:lpstr>'WP-17'!Print_Area</vt:lpstr>
      <vt:lpstr>'WP-18'!Print_Area</vt:lpstr>
      <vt:lpstr>'WP-19'!Print_Area</vt:lpstr>
      <vt:lpstr>'WP-2'!Print_Area</vt:lpstr>
      <vt:lpstr>'WP-3'!Print_Area</vt:lpstr>
      <vt:lpstr>'WP-5a'!Print_Area</vt:lpstr>
      <vt:lpstr>'WP-5c'!Print_Area</vt:lpstr>
      <vt:lpstr>'WP-6a'!Print_Area</vt:lpstr>
      <vt:lpstr>'WP-6b'!Print_Area</vt:lpstr>
      <vt:lpstr>'WP-6c'!Print_Area</vt:lpstr>
      <vt:lpstr>'WP-6d'!Print_Area</vt:lpstr>
      <vt:lpstr>'WP-8a'!Print_Area</vt:lpstr>
      <vt:lpstr>'WP-8ai'!Print_Area</vt:lpstr>
      <vt:lpstr>'WP-8c'!Print_Area</vt:lpstr>
      <vt:lpstr>'WP-9b'!Print_Area</vt:lpstr>
      <vt:lpstr>'WP-13'!Print_Titles</vt:lpstr>
      <vt:lpstr>'WP-14'!Print_Titles</vt:lpstr>
      <vt:lpstr>'WP-3'!Print_Titles</vt:lpstr>
      <vt:lpstr>'WP-6a'!Print_Titles</vt:lpstr>
      <vt:lpstr>'WP-6b'!Print_Titles</vt:lpstr>
      <vt:lpstr>'WP-8a'!Print_Titles</vt:lpstr>
      <vt:lpstr>'WP-8ai'!Print_Titles</vt:lpstr>
    </vt:vector>
  </TitlesOfParts>
  <Company>AEP-IT-CPS 4/30/3-(8-835-3050)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s632389</cp:lastModifiedBy>
  <cp:lastPrinted>2017-05-16T23:08:15Z</cp:lastPrinted>
  <dcterms:created xsi:type="dcterms:W3CDTF">2009-06-23T20:32:53Z</dcterms:created>
  <dcterms:modified xsi:type="dcterms:W3CDTF">2017-05-18T23:35:11Z</dcterms:modified>
</cp:coreProperties>
</file>